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9696" yWindow="65404" windowWidth="14052" windowHeight="11760" tabRatio="783" activeTab="0"/>
  </bookViews>
  <sheets>
    <sheet name="1. Цел. показатели" sheetId="1" r:id="rId1"/>
  </sheets>
  <definedNames/>
  <calcPr calcId="144525"/>
</workbook>
</file>

<file path=xl/sharedStrings.xml><?xml version="1.0" encoding="utf-8"?>
<sst xmlns="http://schemas.openxmlformats.org/spreadsheetml/2006/main" count="179" uniqueCount="171">
  <si>
    <t>Целевые показатели</t>
  </si>
  <si>
    <t>к муниципальной программе "Развитие жилищно-коммунального комплекса</t>
  </si>
  <si>
    <t>№п\п</t>
  </si>
  <si>
    <t xml:space="preserve">Наименование целевых показателей </t>
  </si>
  <si>
    <t>Базовые целевые показатели на начало реализации программы</t>
  </si>
  <si>
    <t>Значение целевых показателей по годам</t>
  </si>
  <si>
    <t>Значение целевых показателей  на момент окончания действия программы</t>
  </si>
  <si>
    <t>2015 год</t>
  </si>
  <si>
    <t>2016 год</t>
  </si>
  <si>
    <t>2017 год</t>
  </si>
  <si>
    <t>2018 год</t>
  </si>
  <si>
    <t>2019 год</t>
  </si>
  <si>
    <t>2020 год</t>
  </si>
  <si>
    <t xml:space="preserve">Количество  многоквартирных домов, оборудованных приборами учета электрической энергии (дома) </t>
  </si>
  <si>
    <t>Общее количество многоквартирных домов (дома)</t>
  </si>
  <si>
    <t xml:space="preserve">Количество  многоквартирных домов, оборудованных приборами учета тепловой  энергии (дома) </t>
  </si>
  <si>
    <t xml:space="preserve">Количество  многоквартирных домов, оборудованных приборами учета холодной воды (дома) </t>
  </si>
  <si>
    <t xml:space="preserve">Количество  многоквартирных домов, оборудованных приборами учета горячей воды (дома) </t>
  </si>
  <si>
    <t>Объем потребления электрической энергии муниципальными учреждениями (кВт.ч)</t>
  </si>
  <si>
    <t>Общая площадь  муниципальных учреждений (м2)</t>
  </si>
  <si>
    <t>Объем потребления тепловой энергии муниципальными учреждениями (Гкал)</t>
  </si>
  <si>
    <t>Объем потребления холодной воды муниципальными учреждениями (м3)</t>
  </si>
  <si>
    <t>Среднегодовая численность (чел.)</t>
  </si>
  <si>
    <t>Объем потребления горячей воды муниципальными учреждениями (м3)</t>
  </si>
  <si>
    <t>Объем потребления тепловой энергии в многоквартирных домах (Гкал)</t>
  </si>
  <si>
    <t>Общая площадь жилых помещений в многоквартирных домах (м2)</t>
  </si>
  <si>
    <t>Объем потребления холодной воды в многоквартирных домах (м3)</t>
  </si>
  <si>
    <t>Число проживающих в многоквартирных домах (чел.)</t>
  </si>
  <si>
    <t>Объем потребления горячей воды в многоквартирных домах (м3)</t>
  </si>
  <si>
    <t>Объем потребления электрической энергии в многоквартирных домах (кВт.ч)</t>
  </si>
  <si>
    <t>Объем потребления энергетических ресурсов в многоквартирных домах (т.у.т.)</t>
  </si>
  <si>
    <t>Выработка (Гкал)</t>
  </si>
  <si>
    <t>газ (т.у.т.)</t>
  </si>
  <si>
    <t>Потребление электрической энергии (кВт.ч)</t>
  </si>
  <si>
    <t>Объем полезного отпуска (Гкал)</t>
  </si>
  <si>
    <t>Отпуск тепловой энергии в сеть (Гкал)</t>
  </si>
  <si>
    <t>Потери</t>
  </si>
  <si>
    <t>Объем воды отпущенной в сеть (м3)</t>
  </si>
  <si>
    <t>Потери (м3)</t>
  </si>
  <si>
    <t>Потребление электрической энергии на водоснабжение  (кВт.ч)</t>
  </si>
  <si>
    <t>Объем водоснабжения (поднято воды) (м3)</t>
  </si>
  <si>
    <t>Потребление электрическойэнергии на водоотведение (кВт.ч)</t>
  </si>
  <si>
    <t>Объем водоотведения (пропущено сточных вод) (м3)</t>
  </si>
  <si>
    <t>Объем потребления электрической энергии уличного освещения (кВт.ч)</t>
  </si>
  <si>
    <t>Освещенная площадь уличного освещения (м2)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</si>
  <si>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</si>
  <si>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</si>
  <si>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</si>
  <si>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</si>
  <si>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</si>
  <si>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</si>
  <si>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</si>
  <si>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</si>
  <si>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</si>
  <si>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</si>
  <si>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и повышения энергетической эффективности на 2019-2024 годы и на период до 2030 года" в городе Покачи</t>
  </si>
  <si>
    <t>5/5</t>
  </si>
  <si>
    <t>Приложение 1</t>
  </si>
  <si>
    <t>к постановлению администрации города Покачи</t>
  </si>
  <si>
    <t>1.</t>
  </si>
  <si>
    <t>2.</t>
  </si>
  <si>
    <t>Протяженность инженерных сетей тепло-, водоснабжения, водоотведения , на которых проведен капитальный ремонт, км, &lt;1&gt;</t>
  </si>
  <si>
    <t>3.</t>
  </si>
  <si>
    <t>&lt;1&gt;</t>
  </si>
  <si>
    <t>&lt;2&gt;</t>
  </si>
  <si>
    <t>&lt;3&gt;</t>
  </si>
  <si>
    <t>Количество предоставляемых субсидии , в целях возмещения недополученных доходов организаций, оказывающих услуги в сфере по водоснабжению и водоотведению, шт.&lt;2&gt;</t>
  </si>
  <si>
    <t>4.</t>
  </si>
  <si>
    <t>Количество выведенных объектов из реестра опасных производственных объектов, шт., &lt;3&gt;</t>
  </si>
  <si>
    <t>&lt;4&gt;</t>
  </si>
  <si>
    <t>&lt;5&gt;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</si>
  <si>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%, &lt;5&gt;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</si>
  <si>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%, &lt;5&gt;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</si>
  <si>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</si>
  <si>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</si>
  <si>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площади), кВт.ч/м2, &lt;5&gt;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</si>
  <si>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площади), Гкал/м2, &lt;5&gt;</t>
  </si>
  <si>
    <t>Удельный расход холодной воды на снабжение органов местного самоуправления и муниципальных учреждений (в расчете на 1 человека), м3/чел., &lt;5&gt;</t>
  </si>
  <si>
    <t>Удельный расход горячей воды на снабжение органов местного самоуправления и муниципальных учреждений (в расчете на 1 человека), м3/чел., &lt;5&gt;</t>
  </si>
  <si>
    <t>Удельный расход тепловой энергии в многоквартирных домах (в расчете на 1 кв. метр общей площади), Гкал/м2, &lt;5&gt;</t>
  </si>
  <si>
    <t>Удельный расход холодной воды в многоквартирных домах (в расчете на 1 жителя), м3/чел., &lt;5&gt;</t>
  </si>
  <si>
    <t>Удельный расход горячей воды в многоквартирных домах (в расчете на 1 жителя), м3/чел. ,&lt;5&gt;</t>
  </si>
  <si>
    <t>Удельный расход электрической энергии в многоквартирных домах (в расчете на 1 кв. метр общей площади), кВт.ч/м2, &lt;5&gt;</t>
  </si>
  <si>
    <t>Удельный суммарный расход энергетических ресурсов в многоквартирных домах, т.у.т./м2, &lt;5&gt;</t>
  </si>
  <si>
    <t>Удельный расход топлива на выработку тепловой энергии на котельных, т.у.т./Гкал, &lt;5&gt;</t>
  </si>
  <si>
    <t>Удельный расход электрической энергии, используемой при передаче тепловой энергии в системах теплоснабжения, кВтч/тыс.Гкал, &lt;5&gt;</t>
  </si>
  <si>
    <t>Доля потерь тепловой энергии при ее передаче в общем объеме переданной тепловой энергии, %,&lt;5&gt;</t>
  </si>
  <si>
    <t>Доля потерь воды при ее передаче в общем объеме переданной воды, %, &lt;5&gt;</t>
  </si>
  <si>
    <t>Удельный расход электрической энергии, используемой для передачи (транспортировки) воды в системах водоснабжения (на 1 куб. метр), кВтч/м3 ,&lt;5&gt;</t>
  </si>
  <si>
    <t>Удельный расход электрической энергии, используемой в системах водоотведения (на 1 куб. метр), кВтч/м3, &lt;5&gt;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</si>
  <si>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кВтч/м3, &lt;5&gt;</t>
  </si>
  <si>
    <t>&lt;9&gt;</t>
  </si>
  <si>
    <t xml:space="preserve">Количество отремонтированных многоквартирных домов/ количество отремонтированных конструктивных элементов в многоквартирных домах, ед./ед. &lt;4&gt;, </t>
  </si>
  <si>
    <t>7/21</t>
  </si>
  <si>
    <t>9/28</t>
  </si>
  <si>
    <t>21/54</t>
  </si>
  <si>
    <t>Количество покрашенных фасадов домов (шт.), &lt;9&gt;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</si>
  <si>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%, &lt;5&gt;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</si>
  <si>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%, &lt;5&gt;</t>
  </si>
  <si>
    <t>Удельный расход природного газа на снабжение органов местного самоуправления и муниципальных учреждений (в расчете на 1 человека),куб. м/чел.,&lt;5&gt;</t>
  </si>
  <si>
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программы, %,&lt;5&gt; </t>
  </si>
  <si>
    <t>Удельный расход природного газа в многоквартирных домах с индивидуальными системами газового отопления (в расчете на 1 кв. м общей площади), тыс. куб. м/кв. м, &lt;5&gt;</t>
  </si>
  <si>
    <t>Удельный расход природного газа в многоквартирных домах с иными системами теплоснабжения (в расчете на 1 жителя), тыс. куб. м/чел., &lt;5&gt;</t>
  </si>
  <si>
    <t>Удельный расход топлива на выработку тепловой энергии на тепловых электростанциях,т.у.т./кВт.ч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</si>
  <si>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ед.,&lt;5&gt;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</si>
  <si>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энергии, ед.,&lt;5&gt;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</si>
  <si>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ед.,&lt;5&gt;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</si>
  <si>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образованием, ед.,&lt;5&gt;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</si>
  <si>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топлива, ед.,&lt;5&gt;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</si>
  <si>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предприятиями,ед.,&lt;5&gt;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</si>
  <si>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</si>
  <si>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</si>
  <si>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</si>
  <si>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</si>
  <si>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</si>
  <si>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</si>
  <si>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</si>
  <si>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</si>
  <si>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</si>
  <si>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</si>
  <si>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</si>
  <si>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</si>
  <si>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</si>
  <si>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</si>
  <si>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</si>
  <si>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</si>
  <si>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</si>
  <si>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</si>
  <si>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</si>
  <si>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</si>
  <si>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</si>
  <si>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</si>
  <si>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</si>
  <si>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</si>
  <si>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</si>
  <si>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</si>
  <si>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</si>
  <si>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</si>
  <si>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</si>
  <si>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</si>
  <si>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</si>
  <si>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</si>
  <si>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</si>
  <si>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</si>
  <si>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</si>
  <si>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</si>
  <si>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</si>
  <si>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</si>
  <si>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Количество энергосервисных договоров (контрактов), заключенных органами местного самоуправления и муниципальными учреждениями, ед.,&lt;5&gt;</t>
  </si>
  <si>
    <t>Количество обращений граждан об неудовлетворительном уровне освещенности городских территорий (не более 5 обращений граждан), шт.,  &lt;6&gt;</t>
  </si>
  <si>
    <t>Количество обращений граждан в бюджетное учреждение Ханты-Мансийского автономного округа - Югры "Покачевская городская больница" приемно-диагностическое отделение по поводу укусов животными,шт., &lt;7&gt;</t>
  </si>
  <si>
    <t>Количество обращений граждан по похоронному делу ( не более 3 обращений граждан), шт.,  &lt;8&gt;</t>
  </si>
  <si>
    <t xml:space="preserve">Соглашение о предоставлении из бюджета муниципального образования город Покачи субсидии, предусмотренной муниципальной программой муниципального образования город Покачи «Развитие жилищно-коммунального комплекса и повышения  энергетической эффективности на  2019-2024 годы и на период </t>
  </si>
  <si>
    <t>Соглашение о предоставлении из бюджета муниципального образования субсидии, предусмотренной муниципальной программмой муниципального образования город Покачи «Развитие жилищно-коммунального комплекса и повышение энергетической эффективности на 2019-2024 годы и на период до 2030 года»</t>
  </si>
  <si>
    <t xml:space="preserve">Соглашение о предоставлении платы Концедента в виде субсидии направленной на софинансирование части расходов на создание, реконструкцию, модернизацию объекта концессионного соглашения,  в том числе расходов, предусмотренных в рамках концессионного соглашения в форме платы концедента в виде </t>
  </si>
  <si>
    <t xml:space="preserve">Постановление Правительства от31.12.2009 №1225  «О требованиях к региональным и муниципальным программам в области энергосбережения и павышения энергетической эффективности» , приказ минестерства энергетики Российской федерации от 30.06.2014 №399 «Об утверждении методики расчета значений </t>
  </si>
  <si>
    <t>до 2030 года» в городе Покачи», ООО «Экосистема» на финансовое обеспечение затрат по капитальному ремонту систем водоотведения, в том числе с применением композитных материалов, разработки проектно-сметной документации и проверки  достоверности определения сметной стоимости работ.</t>
  </si>
  <si>
    <t>в городе Покачи ООО «Аквалидер» на возмещение недополученных  доходов в связи с оказанием услуг по водоснабжению на территории города Покачи.</t>
  </si>
  <si>
    <t>финансового обеспечения (возмещения) затрат  в части эксплуатационных расходов, понесенных концессионером  в процессе реализации концессионного соглашения.</t>
  </si>
  <si>
    <t>Договор исключение опасного производственного объекта из государственного реестра.</t>
  </si>
  <si>
    <t>Краткосрочный план реализации программы капитального ремонта общего имущества в многоквартирных домах, расположенных на территории Ханты-Мансийского автономного округа- Югры, утвержденного постановлением Правительства Ханты-Мансийского автономного округа-Югры.</t>
  </si>
  <si>
    <t>целевых показателей в области энергосбережения и повышения энергетической эффективности, в том сисле в сопоставимых условиях».</t>
  </si>
  <si>
    <t>&lt;6&gt;</t>
  </si>
  <si>
    <t>Журнал учета обращений граждан об неудовлетворенном уровне освещенности городских территорий</t>
  </si>
  <si>
    <t>&lt;7&gt;</t>
  </si>
  <si>
    <t>Журнал учета обращений граждан по поводу укусов животными</t>
  </si>
  <si>
    <t>&lt;8&gt;</t>
  </si>
  <si>
    <t>Журнал учета обращений граждан по похоронному делу</t>
  </si>
  <si>
    <t xml:space="preserve">Соглашение о сотрудничестве между муниципальным образованием город Покачи и обществом с ограниченной ответственностью «ЛУКОЙЛ-Западная Сибирь» в рамках реализации соглашения о сотрудничестве между Правительством Ханты-Мансийского автономного округа-Югры и ПАО «Нефтяная Компания </t>
  </si>
  <si>
    <t>ЛУКОЙЛ»</t>
  </si>
  <si>
    <t>от  11.11.2019 №1010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</si>
</sst>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0"/>
    <numFmt numFmtId="166" formatCode="_-* #,##0.0000_р_._-;\-* #,##0.0000_р_._-;_-* &quot;-&quot;??_р_._-;_-@_-"/>
    <numFmt numFmtId="167" formatCode="#,##0.000"/>
    <numFmt numFmtId="168" formatCode="_-* #,##0_р_._-;\-* #,##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</cellStyleXfs>
  <cellXfs count="8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wrapText="1"/>
    </xf>
    <xf numFmtId="166" fontId="3" fillId="0" borderId="1" xfId="21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43" fontId="3" fillId="0" borderId="1" xfId="21" applyNumberFormat="1" applyFont="1" applyFill="1" applyBorder="1" applyAlignment="1">
      <alignment horizontal="center" wrapText="1"/>
    </xf>
    <xf numFmtId="4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43" fontId="3" fillId="0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167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168" fontId="8" fillId="0" borderId="1" xfId="21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6" fontId="3" fillId="0" borderId="1" xfId="0" applyNumberFormat="1" applyFont="1" applyFill="1" applyBorder="1" applyAlignment="1">
      <alignment horizontal="center" wrapText="1"/>
    </xf>
    <xf numFmtId="16" fontId="3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/>
    <xf numFmtId="4" fontId="3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Обычный 3" xfId="22"/>
    <cellStyle name="Финансовый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tabSelected="1" view="pageLayout" zoomScale="50" zoomScalePageLayoutView="50" workbookViewId="0" topLeftCell="B1">
      <selection activeCell="S3" sqref="S3:U3"/>
    </sheetView>
  </sheetViews>
  <sheetFormatPr defaultColWidth="9.140625" defaultRowHeight="15"/>
  <cols>
    <col min="1" max="1" width="4.00390625" style="4" hidden="1" customWidth="1"/>
    <col min="2" max="2" width="6.00390625" style="4" customWidth="1"/>
    <col min="3" max="3" width="56.7109375" style="4" customWidth="1"/>
    <col min="4" max="4" width="17.7109375" style="4" customWidth="1"/>
    <col min="5" max="5" width="13.00390625" style="4" hidden="1" customWidth="1"/>
    <col min="6" max="6" width="16.7109375" style="4" hidden="1" customWidth="1"/>
    <col min="7" max="7" width="14.28125" style="4" hidden="1" customWidth="1"/>
    <col min="8" max="8" width="16.421875" style="4" hidden="1" customWidth="1"/>
    <col min="9" max="9" width="15.140625" style="4" customWidth="1"/>
    <col min="10" max="19" width="14.140625" style="4" customWidth="1"/>
    <col min="20" max="20" width="17.57421875" style="4" customWidth="1"/>
    <col min="21" max="21" width="20.421875" style="4" customWidth="1"/>
    <col min="22" max="22" width="9.28125" style="0" customWidth="1"/>
  </cols>
  <sheetData>
    <row r="1" ht="15">
      <c r="U1" s="58" t="s">
        <v>57</v>
      </c>
    </row>
    <row r="2" spans="18:21" ht="15">
      <c r="R2" s="84" t="s">
        <v>58</v>
      </c>
      <c r="S2" s="84"/>
      <c r="T2" s="84"/>
      <c r="U2" s="84"/>
    </row>
    <row r="3" spans="19:21" ht="15">
      <c r="S3" s="84" t="s">
        <v>170</v>
      </c>
      <c r="T3" s="84"/>
      <c r="U3" s="84"/>
    </row>
    <row r="4" spans="10:21" ht="15.75"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2:21" ht="15.6">
      <c r="B5" s="85" t="s"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2:21" ht="15.6">
      <c r="B6" s="85" t="s">
        <v>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2:21" ht="15.6">
      <c r="B7" s="85" t="s">
        <v>55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9" spans="2:21" s="60" customFormat="1" ht="33" customHeight="1">
      <c r="B9" s="80" t="s">
        <v>2</v>
      </c>
      <c r="C9" s="80" t="s">
        <v>3</v>
      </c>
      <c r="D9" s="80" t="s">
        <v>4</v>
      </c>
      <c r="E9" s="81" t="s">
        <v>5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3"/>
      <c r="U9" s="80" t="s">
        <v>6</v>
      </c>
    </row>
    <row r="10" spans="2:21" s="60" customFormat="1" ht="36" customHeight="1">
      <c r="B10" s="80"/>
      <c r="C10" s="80"/>
      <c r="D10" s="80"/>
      <c r="E10" s="59" t="s">
        <v>7</v>
      </c>
      <c r="F10" s="59" t="s">
        <v>8</v>
      </c>
      <c r="G10" s="59" t="s">
        <v>9</v>
      </c>
      <c r="H10" s="59" t="s">
        <v>10</v>
      </c>
      <c r="I10" s="59" t="s">
        <v>11</v>
      </c>
      <c r="J10" s="59" t="s">
        <v>12</v>
      </c>
      <c r="K10" s="59" t="s">
        <v>45</v>
      </c>
      <c r="L10" s="59" t="s">
        <v>46</v>
      </c>
      <c r="M10" s="59" t="s">
        <v>47</v>
      </c>
      <c r="N10" s="59" t="s">
        <v>48</v>
      </c>
      <c r="O10" s="59" t="s">
        <v>49</v>
      </c>
      <c r="P10" s="59" t="s">
        <v>50</v>
      </c>
      <c r="Q10" s="59" t="s">
        <v>51</v>
      </c>
      <c r="R10" s="59" t="s">
        <v>52</v>
      </c>
      <c r="S10" s="59" t="s">
        <v>53</v>
      </c>
      <c r="T10" s="59" t="s">
        <v>54</v>
      </c>
      <c r="U10" s="80"/>
    </row>
    <row r="11" spans="2:21" s="60" customFormat="1" ht="15" customHeight="1">
      <c r="B11" s="59">
        <v>1</v>
      </c>
      <c r="C11" s="59">
        <v>2</v>
      </c>
      <c r="D11" s="59">
        <v>3</v>
      </c>
      <c r="E11" s="59">
        <v>4</v>
      </c>
      <c r="F11" s="59">
        <v>5</v>
      </c>
      <c r="G11" s="59">
        <v>6</v>
      </c>
      <c r="H11" s="59">
        <v>7</v>
      </c>
      <c r="I11" s="59">
        <v>4</v>
      </c>
      <c r="J11" s="59">
        <v>5</v>
      </c>
      <c r="K11" s="59">
        <v>6</v>
      </c>
      <c r="L11" s="59">
        <v>7</v>
      </c>
      <c r="M11" s="59">
        <v>8</v>
      </c>
      <c r="N11" s="59">
        <v>9</v>
      </c>
      <c r="O11" s="59">
        <v>10</v>
      </c>
      <c r="P11" s="59">
        <v>11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</row>
    <row r="12" spans="1:21" ht="46.5" customHeight="1">
      <c r="A12" s="7"/>
      <c r="B12" s="56" t="s">
        <v>59</v>
      </c>
      <c r="C12" s="9" t="s">
        <v>61</v>
      </c>
      <c r="D12" s="50">
        <v>0</v>
      </c>
      <c r="E12" s="5"/>
      <c r="F12" s="50">
        <v>0</v>
      </c>
      <c r="G12" s="50">
        <v>0</v>
      </c>
      <c r="H12" s="50">
        <v>0</v>
      </c>
      <c r="I12" s="50">
        <v>0.262</v>
      </c>
      <c r="J12" s="50">
        <v>0</v>
      </c>
      <c r="K12" s="50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50">
        <f>I12+J12+K12+L12+M12+N12+O12+P12+Q12+R12+S12+T12</f>
        <v>0.262</v>
      </c>
    </row>
    <row r="13" spans="1:21" ht="64.5" customHeight="1">
      <c r="A13" s="7"/>
      <c r="B13" s="57" t="s">
        <v>60</v>
      </c>
      <c r="C13" s="61" t="s">
        <v>66</v>
      </c>
      <c r="D13" s="47">
        <v>8</v>
      </c>
      <c r="E13" s="48"/>
      <c r="F13" s="47"/>
      <c r="G13" s="47"/>
      <c r="H13" s="47"/>
      <c r="I13" s="47">
        <v>8</v>
      </c>
      <c r="J13" s="47">
        <v>8</v>
      </c>
      <c r="K13" s="47">
        <v>8</v>
      </c>
      <c r="L13" s="47">
        <v>8</v>
      </c>
      <c r="M13" s="47">
        <v>8</v>
      </c>
      <c r="N13" s="47">
        <v>8</v>
      </c>
      <c r="O13" s="47">
        <v>8</v>
      </c>
      <c r="P13" s="47">
        <v>8</v>
      </c>
      <c r="Q13" s="47">
        <v>8</v>
      </c>
      <c r="R13" s="47">
        <v>8</v>
      </c>
      <c r="S13" s="47">
        <v>8</v>
      </c>
      <c r="T13" s="47">
        <v>8</v>
      </c>
      <c r="U13" s="47">
        <v>8</v>
      </c>
    </row>
    <row r="14" spans="1:21" ht="31.2">
      <c r="A14" s="7"/>
      <c r="B14" s="57" t="s">
        <v>62</v>
      </c>
      <c r="C14" s="46" t="s">
        <v>68</v>
      </c>
      <c r="D14" s="47">
        <v>0</v>
      </c>
      <c r="E14" s="48"/>
      <c r="F14" s="47"/>
      <c r="G14" s="47"/>
      <c r="H14" s="47"/>
      <c r="I14" s="47">
        <v>1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1</v>
      </c>
    </row>
    <row r="15" spans="1:22" ht="44.25" customHeight="1">
      <c r="A15"/>
      <c r="B15" s="57" t="s">
        <v>67</v>
      </c>
      <c r="C15" s="9" t="s">
        <v>92</v>
      </c>
      <c r="D15" s="10">
        <v>0</v>
      </c>
      <c r="E15" s="10"/>
      <c r="F15" s="10">
        <v>0</v>
      </c>
      <c r="G15" s="11">
        <v>14</v>
      </c>
      <c r="H15" s="10">
        <v>7</v>
      </c>
      <c r="I15" s="51" t="s">
        <v>56</v>
      </c>
      <c r="J15" s="10">
        <v>0</v>
      </c>
      <c r="K15" s="52" t="s">
        <v>93</v>
      </c>
      <c r="L15" s="51" t="s">
        <v>94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52" t="s">
        <v>95</v>
      </c>
      <c r="V15" s="49"/>
    </row>
    <row r="16" spans="1:21" ht="78" customHeight="1">
      <c r="A16"/>
      <c r="B16" s="53" t="s">
        <v>110</v>
      </c>
      <c r="C16" s="13" t="s">
        <v>71</v>
      </c>
      <c r="D16" s="1">
        <v>100</v>
      </c>
      <c r="E16" s="14">
        <v>5</v>
      </c>
      <c r="F16" s="1">
        <v>100</v>
      </c>
      <c r="G16" s="1">
        <v>100</v>
      </c>
      <c r="H16" s="1">
        <v>100</v>
      </c>
      <c r="I16" s="1">
        <v>100</v>
      </c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v>100</v>
      </c>
      <c r="P16" s="1">
        <v>100</v>
      </c>
      <c r="Q16" s="1">
        <v>100</v>
      </c>
      <c r="R16" s="1">
        <v>100</v>
      </c>
      <c r="S16" s="1">
        <v>100</v>
      </c>
      <c r="T16" s="1">
        <v>100</v>
      </c>
      <c r="U16" s="1">
        <v>100</v>
      </c>
    </row>
    <row r="17" spans="1:21" ht="47.25" hidden="1">
      <c r="A17"/>
      <c r="B17" s="53"/>
      <c r="C17" s="13" t="s">
        <v>13</v>
      </c>
      <c r="D17" s="1">
        <v>100</v>
      </c>
      <c r="E17" s="14">
        <v>5</v>
      </c>
      <c r="F17" s="1">
        <v>100</v>
      </c>
      <c r="G17" s="1">
        <v>100</v>
      </c>
      <c r="H17" s="1">
        <v>100</v>
      </c>
      <c r="I17" s="1">
        <v>100</v>
      </c>
      <c r="J17" s="1">
        <v>100</v>
      </c>
      <c r="K17" s="1">
        <v>100</v>
      </c>
      <c r="L17" s="1">
        <v>100</v>
      </c>
      <c r="M17" s="1">
        <v>100</v>
      </c>
      <c r="N17" s="1">
        <v>100</v>
      </c>
      <c r="O17" s="1">
        <v>100</v>
      </c>
      <c r="P17" s="1">
        <v>100</v>
      </c>
      <c r="Q17" s="1">
        <v>100</v>
      </c>
      <c r="R17" s="1">
        <v>100</v>
      </c>
      <c r="S17" s="1">
        <v>100</v>
      </c>
      <c r="T17" s="1">
        <v>100</v>
      </c>
      <c r="U17" s="1">
        <v>100</v>
      </c>
    </row>
    <row r="18" spans="1:21" ht="15.75" hidden="1">
      <c r="A18"/>
      <c r="B18" s="53"/>
      <c r="C18" s="13" t="s">
        <v>14</v>
      </c>
      <c r="D18" s="1">
        <v>100</v>
      </c>
      <c r="E18" s="14">
        <v>5</v>
      </c>
      <c r="F18" s="1">
        <v>100</v>
      </c>
      <c r="G18" s="1">
        <v>100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  <c r="M18" s="1">
        <v>100</v>
      </c>
      <c r="N18" s="1">
        <v>100</v>
      </c>
      <c r="O18" s="1">
        <v>100</v>
      </c>
      <c r="P18" s="1">
        <v>100</v>
      </c>
      <c r="Q18" s="1">
        <v>100</v>
      </c>
      <c r="R18" s="1">
        <v>100</v>
      </c>
      <c r="S18" s="1">
        <v>100</v>
      </c>
      <c r="T18" s="1">
        <v>100</v>
      </c>
      <c r="U18" s="1">
        <v>100</v>
      </c>
    </row>
    <row r="19" spans="1:21" ht="78">
      <c r="A19"/>
      <c r="B19" s="15" t="s">
        <v>111</v>
      </c>
      <c r="C19" s="13" t="s">
        <v>72</v>
      </c>
      <c r="D19" s="1">
        <v>100</v>
      </c>
      <c r="E19" s="14">
        <v>5</v>
      </c>
      <c r="F19" s="1">
        <v>100</v>
      </c>
      <c r="G19" s="1">
        <v>100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100</v>
      </c>
      <c r="Q19" s="1">
        <v>100</v>
      </c>
      <c r="R19" s="1">
        <v>100</v>
      </c>
      <c r="S19" s="1">
        <v>100</v>
      </c>
      <c r="T19" s="1">
        <v>100</v>
      </c>
      <c r="U19" s="1">
        <v>100</v>
      </c>
    </row>
    <row r="20" spans="1:21" ht="0.75" customHeight="1">
      <c r="A20"/>
      <c r="B20" s="15"/>
      <c r="C20" s="13" t="s">
        <v>15</v>
      </c>
      <c r="D20" s="1">
        <v>100</v>
      </c>
      <c r="E20" s="14">
        <v>5</v>
      </c>
      <c r="F20" s="1">
        <v>100</v>
      </c>
      <c r="G20" s="1">
        <v>100</v>
      </c>
      <c r="H20" s="1">
        <v>100</v>
      </c>
      <c r="I20" s="1">
        <v>100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100</v>
      </c>
      <c r="Q20" s="1">
        <v>100</v>
      </c>
      <c r="R20" s="1">
        <v>100</v>
      </c>
      <c r="S20" s="1">
        <v>100</v>
      </c>
      <c r="T20" s="1">
        <v>100</v>
      </c>
      <c r="U20" s="1">
        <v>100</v>
      </c>
    </row>
    <row r="21" spans="1:21" ht="15.75" hidden="1">
      <c r="A21"/>
      <c r="B21" s="15"/>
      <c r="C21" s="13" t="s">
        <v>14</v>
      </c>
      <c r="D21" s="1">
        <v>100</v>
      </c>
      <c r="E21" s="14">
        <v>5</v>
      </c>
      <c r="F21" s="1">
        <v>100</v>
      </c>
      <c r="G21" s="1">
        <v>100</v>
      </c>
      <c r="H21" s="1">
        <v>100</v>
      </c>
      <c r="I21" s="1">
        <v>100</v>
      </c>
      <c r="J21" s="1">
        <v>100</v>
      </c>
      <c r="K21" s="1">
        <v>100</v>
      </c>
      <c r="L21" s="1">
        <v>100</v>
      </c>
      <c r="M21" s="1">
        <v>100</v>
      </c>
      <c r="N21" s="1">
        <v>100</v>
      </c>
      <c r="O21" s="1">
        <v>100</v>
      </c>
      <c r="P21" s="1">
        <v>100</v>
      </c>
      <c r="Q21" s="1">
        <v>100</v>
      </c>
      <c r="R21" s="1">
        <v>100</v>
      </c>
      <c r="S21" s="1">
        <v>100</v>
      </c>
      <c r="T21" s="1">
        <v>100</v>
      </c>
      <c r="U21" s="1">
        <v>100</v>
      </c>
    </row>
    <row r="22" spans="1:21" ht="70.5" customHeight="1">
      <c r="A22"/>
      <c r="B22" s="15" t="s">
        <v>112</v>
      </c>
      <c r="C22" s="13" t="s">
        <v>73</v>
      </c>
      <c r="D22" s="1">
        <v>100</v>
      </c>
      <c r="E22" s="14">
        <v>5</v>
      </c>
      <c r="F22" s="1">
        <v>100</v>
      </c>
      <c r="G22" s="1">
        <v>100</v>
      </c>
      <c r="H22" s="1">
        <v>100</v>
      </c>
      <c r="I22" s="1">
        <v>100</v>
      </c>
      <c r="J22" s="1">
        <v>100</v>
      </c>
      <c r="K22" s="1">
        <v>100</v>
      </c>
      <c r="L22" s="1">
        <v>100</v>
      </c>
      <c r="M22" s="1">
        <v>100</v>
      </c>
      <c r="N22" s="1">
        <v>100</v>
      </c>
      <c r="O22" s="1">
        <v>100</v>
      </c>
      <c r="P22" s="1">
        <v>100</v>
      </c>
      <c r="Q22" s="1">
        <v>100</v>
      </c>
      <c r="R22" s="1">
        <v>100</v>
      </c>
      <c r="S22" s="1">
        <v>100</v>
      </c>
      <c r="T22" s="1">
        <v>100</v>
      </c>
      <c r="U22" s="1">
        <v>100</v>
      </c>
    </row>
    <row r="23" spans="1:21" ht="47.25" hidden="1">
      <c r="A23"/>
      <c r="B23" s="15"/>
      <c r="C23" s="13" t="s">
        <v>16</v>
      </c>
      <c r="D23" s="1">
        <v>100</v>
      </c>
      <c r="E23" s="14">
        <v>5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">
        <v>100</v>
      </c>
      <c r="N23" s="1">
        <v>100</v>
      </c>
      <c r="O23" s="1">
        <v>100</v>
      </c>
      <c r="P23" s="1">
        <v>100</v>
      </c>
      <c r="Q23" s="1">
        <v>100</v>
      </c>
      <c r="R23" s="1">
        <v>100</v>
      </c>
      <c r="S23" s="1">
        <v>100</v>
      </c>
      <c r="T23" s="1">
        <v>100</v>
      </c>
      <c r="U23" s="1">
        <v>100</v>
      </c>
    </row>
    <row r="24" spans="1:21" ht="15.75" hidden="1">
      <c r="A24"/>
      <c r="B24" s="15"/>
      <c r="C24" s="13" t="s">
        <v>14</v>
      </c>
      <c r="D24" s="1">
        <v>100</v>
      </c>
      <c r="E24" s="14">
        <v>5</v>
      </c>
      <c r="F24" s="1">
        <v>100</v>
      </c>
      <c r="G24" s="1">
        <v>100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100</v>
      </c>
      <c r="Q24" s="1">
        <v>100</v>
      </c>
      <c r="R24" s="1">
        <v>100</v>
      </c>
      <c r="S24" s="1">
        <v>100</v>
      </c>
      <c r="T24" s="1">
        <v>100</v>
      </c>
      <c r="U24" s="1">
        <v>100</v>
      </c>
    </row>
    <row r="25" spans="1:21" ht="72" customHeight="1">
      <c r="A25"/>
      <c r="B25" s="15" t="s">
        <v>113</v>
      </c>
      <c r="C25" s="13" t="s">
        <v>74</v>
      </c>
      <c r="D25" s="1">
        <v>100</v>
      </c>
      <c r="E25" s="14">
        <v>5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</row>
    <row r="26" spans="1:21" ht="78">
      <c r="A26"/>
      <c r="B26" s="15" t="s">
        <v>114</v>
      </c>
      <c r="C26" s="13" t="s">
        <v>97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97.5" customHeight="1">
      <c r="A27"/>
      <c r="B27" s="15" t="s">
        <v>115</v>
      </c>
      <c r="C27" s="72" t="s">
        <v>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0.75" customHeight="1">
      <c r="A28"/>
      <c r="B28" s="15"/>
      <c r="C28" s="13" t="s">
        <v>17</v>
      </c>
      <c r="D28" s="12">
        <v>55</v>
      </c>
      <c r="E28" s="12">
        <v>55</v>
      </c>
      <c r="F28" s="12">
        <v>55</v>
      </c>
      <c r="G28" s="12">
        <v>55</v>
      </c>
      <c r="H28" s="12">
        <v>55</v>
      </c>
      <c r="I28" s="12">
        <v>55</v>
      </c>
      <c r="J28" s="12">
        <v>55</v>
      </c>
      <c r="K28" s="12">
        <v>55</v>
      </c>
      <c r="L28" s="12">
        <v>55</v>
      </c>
      <c r="M28" s="12">
        <v>55</v>
      </c>
      <c r="N28" s="12">
        <v>55</v>
      </c>
      <c r="O28" s="12">
        <v>55</v>
      </c>
      <c r="P28" s="12">
        <v>55</v>
      </c>
      <c r="Q28" s="12">
        <v>55</v>
      </c>
      <c r="R28" s="12">
        <v>55</v>
      </c>
      <c r="S28" s="12">
        <v>55</v>
      </c>
      <c r="T28" s="12">
        <v>55</v>
      </c>
      <c r="U28" s="12">
        <v>55</v>
      </c>
    </row>
    <row r="29" spans="2:21" ht="15.75" hidden="1">
      <c r="B29" s="15"/>
      <c r="C29" s="13" t="s">
        <v>14</v>
      </c>
      <c r="D29" s="12">
        <v>55</v>
      </c>
      <c r="E29" s="12">
        <v>55</v>
      </c>
      <c r="F29" s="12">
        <v>55</v>
      </c>
      <c r="G29" s="12">
        <v>55</v>
      </c>
      <c r="H29" s="12">
        <v>55</v>
      </c>
      <c r="I29" s="12">
        <v>55</v>
      </c>
      <c r="J29" s="12">
        <v>55</v>
      </c>
      <c r="K29" s="12">
        <v>55</v>
      </c>
      <c r="L29" s="12">
        <v>55</v>
      </c>
      <c r="M29" s="12">
        <v>55</v>
      </c>
      <c r="N29" s="12">
        <v>55</v>
      </c>
      <c r="O29" s="12">
        <v>55</v>
      </c>
      <c r="P29" s="12">
        <v>55</v>
      </c>
      <c r="Q29" s="12">
        <v>55</v>
      </c>
      <c r="R29" s="12">
        <v>55</v>
      </c>
      <c r="S29" s="12">
        <v>55</v>
      </c>
      <c r="T29" s="12">
        <v>55</v>
      </c>
      <c r="U29" s="12">
        <v>55</v>
      </c>
    </row>
    <row r="30" spans="1:21" s="3" customFormat="1" ht="62.4">
      <c r="A30" s="2"/>
      <c r="B30" s="15" t="s">
        <v>116</v>
      </c>
      <c r="C30" s="16" t="s">
        <v>75</v>
      </c>
      <c r="D30" s="8">
        <v>48.33</v>
      </c>
      <c r="E30" s="8">
        <f>4362951.1/68121.6</f>
        <v>64.04651534902291</v>
      </c>
      <c r="F30" s="8">
        <f>F31/F32</f>
        <v>48.621462753294544</v>
      </c>
      <c r="G30" s="8">
        <f aca="true" t="shared" si="0" ref="G30:J30">G31/G32</f>
        <v>48.47559836503466</v>
      </c>
      <c r="H30" s="8">
        <f t="shared" si="0"/>
        <v>48.33017156993955</v>
      </c>
      <c r="I30" s="8">
        <f t="shared" si="0"/>
        <v>48.18518102493336</v>
      </c>
      <c r="J30" s="8">
        <f t="shared" si="0"/>
        <v>48.08881066288349</v>
      </c>
      <c r="K30" s="8">
        <v>48.09</v>
      </c>
      <c r="L30" s="8">
        <v>48.09</v>
      </c>
      <c r="M30" s="8">
        <v>48.19</v>
      </c>
      <c r="N30" s="8">
        <v>48.19</v>
      </c>
      <c r="O30" s="8">
        <v>48.19</v>
      </c>
      <c r="P30" s="8">
        <v>48.19</v>
      </c>
      <c r="Q30" s="8">
        <v>48.19</v>
      </c>
      <c r="R30" s="8">
        <v>48.19</v>
      </c>
      <c r="S30" s="8">
        <v>48.19</v>
      </c>
      <c r="T30" s="8">
        <v>48.19</v>
      </c>
      <c r="U30" s="8">
        <v>48.19</v>
      </c>
    </row>
    <row r="31" spans="2:21" ht="31.5" hidden="1">
      <c r="B31" s="15"/>
      <c r="C31" s="17" t="s">
        <v>18</v>
      </c>
      <c r="D31" s="8">
        <v>3622260</v>
      </c>
      <c r="E31" s="8"/>
      <c r="F31" s="8">
        <f>D31*99.8%</f>
        <v>3615015.48</v>
      </c>
      <c r="G31" s="8">
        <f>F31*99.7%</f>
        <v>3604170.43356</v>
      </c>
      <c r="H31" s="8">
        <f>G31*99.7%</f>
        <v>3593357.9222593196</v>
      </c>
      <c r="I31" s="8">
        <f>3593357.92*99.7%</f>
        <v>3582577.84624</v>
      </c>
      <c r="J31" s="8">
        <f>I31*99.8%</f>
        <v>3575412.69054752</v>
      </c>
      <c r="K31" s="8">
        <f>3593357.92*99.7%</f>
        <v>3582577.84624</v>
      </c>
      <c r="L31" s="8">
        <f aca="true" t="shared" si="1" ref="L31:U31">3593357.92*99.7%</f>
        <v>3582577.84624</v>
      </c>
      <c r="M31" s="8">
        <f t="shared" si="1"/>
        <v>3582577.84624</v>
      </c>
      <c r="N31" s="8">
        <f t="shared" si="1"/>
        <v>3582577.84624</v>
      </c>
      <c r="O31" s="8">
        <f t="shared" si="1"/>
        <v>3582577.84624</v>
      </c>
      <c r="P31" s="8">
        <f t="shared" si="1"/>
        <v>3582577.84624</v>
      </c>
      <c r="Q31" s="8">
        <f t="shared" si="1"/>
        <v>3582577.84624</v>
      </c>
      <c r="R31" s="8">
        <f t="shared" si="1"/>
        <v>3582577.84624</v>
      </c>
      <c r="S31" s="8">
        <f t="shared" si="1"/>
        <v>3582577.84624</v>
      </c>
      <c r="T31" s="8">
        <f t="shared" si="1"/>
        <v>3582577.84624</v>
      </c>
      <c r="U31" s="8">
        <f t="shared" si="1"/>
        <v>3582577.84624</v>
      </c>
    </row>
    <row r="32" spans="2:21" ht="15.75" hidden="1">
      <c r="B32" s="15"/>
      <c r="C32" s="17" t="s">
        <v>19</v>
      </c>
      <c r="D32" s="8">
        <v>74350.2</v>
      </c>
      <c r="E32" s="8"/>
      <c r="F32" s="8">
        <v>74350.2</v>
      </c>
      <c r="G32" s="8">
        <v>74350.2</v>
      </c>
      <c r="H32" s="8">
        <v>74350.2</v>
      </c>
      <c r="I32" s="8">
        <v>74350.2</v>
      </c>
      <c r="J32" s="8">
        <v>74350.2</v>
      </c>
      <c r="K32" s="8">
        <v>74350.2</v>
      </c>
      <c r="L32" s="8">
        <v>74350.2</v>
      </c>
      <c r="M32" s="8">
        <v>74350.2</v>
      </c>
      <c r="N32" s="8">
        <v>74350.2</v>
      </c>
      <c r="O32" s="8">
        <v>74350.2</v>
      </c>
      <c r="P32" s="8">
        <v>74350.2</v>
      </c>
      <c r="Q32" s="8">
        <v>74350.2</v>
      </c>
      <c r="R32" s="8">
        <v>74350.2</v>
      </c>
      <c r="S32" s="8">
        <v>74350.2</v>
      </c>
      <c r="T32" s="8">
        <v>74350.2</v>
      </c>
      <c r="U32" s="8">
        <v>74350.2</v>
      </c>
    </row>
    <row r="33" spans="2:21" ht="62.4">
      <c r="B33" s="15" t="s">
        <v>117</v>
      </c>
      <c r="C33" s="16" t="s">
        <v>76</v>
      </c>
      <c r="D33" s="18">
        <v>0.2199</v>
      </c>
      <c r="E33" s="8">
        <f>17711.62/68121.6</f>
        <v>0.2600000587185268</v>
      </c>
      <c r="F33" s="19">
        <f>D33*99.9%</f>
        <v>0.21968010000000004</v>
      </c>
      <c r="G33" s="18">
        <f>F33*99.9%</f>
        <v>0.21946041990000006</v>
      </c>
      <c r="H33" s="18">
        <f>G33*99.8%</f>
        <v>0.21902149906020008</v>
      </c>
      <c r="I33" s="18">
        <f>0.2199*99.9%</f>
        <v>0.21968010000000004</v>
      </c>
      <c r="J33" s="18">
        <v>0.2197</v>
      </c>
      <c r="K33" s="18">
        <f>0.2199*99.9%</f>
        <v>0.21968010000000004</v>
      </c>
      <c r="L33" s="18">
        <f aca="true" t="shared" si="2" ref="L33:T33">0.2199*99.9%</f>
        <v>0.21968010000000004</v>
      </c>
      <c r="M33" s="18">
        <f t="shared" si="2"/>
        <v>0.21968010000000004</v>
      </c>
      <c r="N33" s="18">
        <f t="shared" si="2"/>
        <v>0.21968010000000004</v>
      </c>
      <c r="O33" s="18">
        <f t="shared" si="2"/>
        <v>0.21968010000000004</v>
      </c>
      <c r="P33" s="18">
        <f t="shared" si="2"/>
        <v>0.21968010000000004</v>
      </c>
      <c r="Q33" s="18">
        <f t="shared" si="2"/>
        <v>0.21968010000000004</v>
      </c>
      <c r="R33" s="18">
        <f t="shared" si="2"/>
        <v>0.21968010000000004</v>
      </c>
      <c r="S33" s="18">
        <f t="shared" si="2"/>
        <v>0.21968010000000004</v>
      </c>
      <c r="T33" s="18">
        <f t="shared" si="2"/>
        <v>0.21968010000000004</v>
      </c>
      <c r="U33" s="18">
        <v>0.2197</v>
      </c>
    </row>
    <row r="34" spans="2:21" ht="31.5" hidden="1">
      <c r="B34" s="15"/>
      <c r="C34" s="17" t="s">
        <v>20</v>
      </c>
      <c r="D34" s="20">
        <v>16404.849</v>
      </c>
      <c r="E34" s="8"/>
      <c r="F34" s="21">
        <f>D34*99.8%</f>
        <v>16372.039301999997</v>
      </c>
      <c r="G34" s="8">
        <f>F34*99.7%</f>
        <v>16322.923184093997</v>
      </c>
      <c r="H34" s="8">
        <f aca="true" t="shared" si="3" ref="H34">G34*99.7%</f>
        <v>16273.954414541715</v>
      </c>
      <c r="I34" s="8">
        <f>16273.95*99.7%</f>
        <v>16225.12815</v>
      </c>
      <c r="J34" s="8">
        <f>I34*99.8%</f>
        <v>16192.6778937</v>
      </c>
      <c r="K34" s="8">
        <f>16273.95*99.7%</f>
        <v>16225.12815</v>
      </c>
      <c r="L34" s="8">
        <f aca="true" t="shared" si="4" ref="L34:T34">16273.95*99.7%</f>
        <v>16225.12815</v>
      </c>
      <c r="M34" s="8">
        <f t="shared" si="4"/>
        <v>16225.12815</v>
      </c>
      <c r="N34" s="8">
        <f t="shared" si="4"/>
        <v>16225.12815</v>
      </c>
      <c r="O34" s="8">
        <f t="shared" si="4"/>
        <v>16225.12815</v>
      </c>
      <c r="P34" s="8">
        <f t="shared" si="4"/>
        <v>16225.12815</v>
      </c>
      <c r="Q34" s="8">
        <f t="shared" si="4"/>
        <v>16225.12815</v>
      </c>
      <c r="R34" s="8">
        <f t="shared" si="4"/>
        <v>16225.12815</v>
      </c>
      <c r="S34" s="8">
        <f t="shared" si="4"/>
        <v>16225.12815</v>
      </c>
      <c r="T34" s="8">
        <f t="shared" si="4"/>
        <v>16225.12815</v>
      </c>
      <c r="U34" s="18">
        <f aca="true" t="shared" si="5" ref="U34:U38">J34</f>
        <v>16192.6778937</v>
      </c>
    </row>
    <row r="35" spans="2:21" ht="15.75" hidden="1">
      <c r="B35" s="15"/>
      <c r="C35" s="17" t="s">
        <v>19</v>
      </c>
      <c r="D35" s="8">
        <v>74350.2</v>
      </c>
      <c r="E35" s="8"/>
      <c r="F35" s="21">
        <v>74350.2</v>
      </c>
      <c r="G35" s="8">
        <v>74350.2</v>
      </c>
      <c r="H35" s="8">
        <v>74350.2</v>
      </c>
      <c r="I35" s="8">
        <v>74350.2</v>
      </c>
      <c r="J35" s="8">
        <v>74350.2</v>
      </c>
      <c r="K35" s="8">
        <v>74350.2</v>
      </c>
      <c r="L35" s="8">
        <v>74350.2</v>
      </c>
      <c r="M35" s="8">
        <v>74350.2</v>
      </c>
      <c r="N35" s="8">
        <v>74350.2</v>
      </c>
      <c r="O35" s="8">
        <v>74350.2</v>
      </c>
      <c r="P35" s="8">
        <v>74350.2</v>
      </c>
      <c r="Q35" s="8">
        <v>74350.2</v>
      </c>
      <c r="R35" s="8">
        <v>74350.2</v>
      </c>
      <c r="S35" s="8">
        <v>74350.2</v>
      </c>
      <c r="T35" s="8">
        <v>74350.2</v>
      </c>
      <c r="U35" s="18">
        <f t="shared" si="5"/>
        <v>74350.2</v>
      </c>
    </row>
    <row r="36" spans="2:21" ht="52.5" customHeight="1">
      <c r="B36" s="15" t="s">
        <v>118</v>
      </c>
      <c r="C36" s="16" t="s">
        <v>77</v>
      </c>
      <c r="D36" s="8">
        <v>0.96</v>
      </c>
      <c r="E36" s="8">
        <f>51581.6/1220</f>
        <v>42.28</v>
      </c>
      <c r="F36" s="22">
        <f>D36*99.9%</f>
        <v>0.9590400000000001</v>
      </c>
      <c r="G36" s="23">
        <f>F36*99.9%</f>
        <v>0.9580809600000002</v>
      </c>
      <c r="H36" s="23">
        <f>G36*99.9%</f>
        <v>0.9571228790400003</v>
      </c>
      <c r="I36" s="23">
        <f>8.96*99.9%</f>
        <v>8.951040000000003</v>
      </c>
      <c r="J36" s="23">
        <f>I36*99.9%</f>
        <v>8.942088960000003</v>
      </c>
      <c r="K36" s="23">
        <v>8.94</v>
      </c>
      <c r="L36" s="23">
        <v>8.94</v>
      </c>
      <c r="M36" s="23">
        <v>8.94</v>
      </c>
      <c r="N36" s="23">
        <v>8.94</v>
      </c>
      <c r="O36" s="23">
        <v>8.94</v>
      </c>
      <c r="P36" s="23">
        <v>8.94</v>
      </c>
      <c r="Q36" s="23">
        <v>8.94</v>
      </c>
      <c r="R36" s="23">
        <v>8.94</v>
      </c>
      <c r="S36" s="23">
        <v>8.94</v>
      </c>
      <c r="T36" s="23">
        <v>8.94</v>
      </c>
      <c r="U36" s="8">
        <f t="shared" si="5"/>
        <v>8.942088960000003</v>
      </c>
    </row>
    <row r="37" spans="2:21" ht="0.75" customHeight="1" hidden="1">
      <c r="B37" s="15">
        <v>14</v>
      </c>
      <c r="C37" s="17" t="s">
        <v>21</v>
      </c>
      <c r="D37" s="8">
        <v>46241.892</v>
      </c>
      <c r="E37" s="8"/>
      <c r="F37" s="21">
        <f>D37*99.8%</f>
        <v>46149.408215999996</v>
      </c>
      <c r="G37" s="8">
        <f>F37*99.7%</f>
        <v>46010.959991352</v>
      </c>
      <c r="H37" s="8">
        <f aca="true" t="shared" si="6" ref="H37">G37*99.7%</f>
        <v>45872.92711137795</v>
      </c>
      <c r="I37" s="8">
        <f>45872.93*99.7%</f>
        <v>45735.31121</v>
      </c>
      <c r="J37" s="8">
        <f>I37*99.8%</f>
        <v>45643.84058758</v>
      </c>
      <c r="K37" s="8">
        <f>45872.93*99.7%</f>
        <v>45735.31121</v>
      </c>
      <c r="L37" s="8">
        <f aca="true" t="shared" si="7" ref="L37:T37">45872.93*99.7%</f>
        <v>45735.31121</v>
      </c>
      <c r="M37" s="8">
        <f t="shared" si="7"/>
        <v>45735.31121</v>
      </c>
      <c r="N37" s="8">
        <f t="shared" si="7"/>
        <v>45735.31121</v>
      </c>
      <c r="O37" s="8">
        <f t="shared" si="7"/>
        <v>45735.31121</v>
      </c>
      <c r="P37" s="8">
        <f t="shared" si="7"/>
        <v>45735.31121</v>
      </c>
      <c r="Q37" s="8">
        <f t="shared" si="7"/>
        <v>45735.31121</v>
      </c>
      <c r="R37" s="8">
        <f t="shared" si="7"/>
        <v>45735.31121</v>
      </c>
      <c r="S37" s="8">
        <f t="shared" si="7"/>
        <v>45735.31121</v>
      </c>
      <c r="T37" s="8">
        <f t="shared" si="7"/>
        <v>45735.31121</v>
      </c>
      <c r="U37" s="18">
        <f t="shared" si="5"/>
        <v>45643.84058758</v>
      </c>
    </row>
    <row r="38" spans="2:21" ht="15.75" hidden="1">
      <c r="B38" s="15"/>
      <c r="C38" s="17" t="s">
        <v>22</v>
      </c>
      <c r="D38" s="24">
        <v>1253</v>
      </c>
      <c r="E38" s="8"/>
      <c r="F38" s="25">
        <v>1253</v>
      </c>
      <c r="G38" s="24">
        <v>1253</v>
      </c>
      <c r="H38" s="24">
        <v>1253</v>
      </c>
      <c r="I38" s="24">
        <v>1253</v>
      </c>
      <c r="J38" s="24">
        <v>1253</v>
      </c>
      <c r="K38" s="24">
        <v>1253</v>
      </c>
      <c r="L38" s="24">
        <v>1253</v>
      </c>
      <c r="M38" s="24">
        <v>1253</v>
      </c>
      <c r="N38" s="24">
        <v>1253</v>
      </c>
      <c r="O38" s="24">
        <v>1253</v>
      </c>
      <c r="P38" s="24">
        <v>1253</v>
      </c>
      <c r="Q38" s="24">
        <v>1253</v>
      </c>
      <c r="R38" s="24">
        <v>1253</v>
      </c>
      <c r="S38" s="24">
        <v>1253</v>
      </c>
      <c r="T38" s="24">
        <v>1253</v>
      </c>
      <c r="U38" s="18">
        <f t="shared" si="5"/>
        <v>1253</v>
      </c>
    </row>
    <row r="39" spans="2:21" ht="51.75" customHeight="1">
      <c r="B39" s="15" t="s">
        <v>119</v>
      </c>
      <c r="C39" s="16" t="s">
        <v>78</v>
      </c>
      <c r="D39" s="8">
        <v>4.68</v>
      </c>
      <c r="E39" s="8">
        <f>20069/1220</f>
        <v>16.45</v>
      </c>
      <c r="F39" s="22">
        <f>D39*99.9%</f>
        <v>4.67532</v>
      </c>
      <c r="G39" s="26">
        <f>F39*99.9%</f>
        <v>4.6706446800000005</v>
      </c>
      <c r="H39" s="26">
        <f>G39*99.9%</f>
        <v>4.665974035320001</v>
      </c>
      <c r="I39" s="26">
        <v>4.67</v>
      </c>
      <c r="J39" s="26">
        <f aca="true" t="shared" si="8" ref="J39">I39*99.9%</f>
        <v>4.665330000000001</v>
      </c>
      <c r="K39" s="26">
        <v>4.67</v>
      </c>
      <c r="L39" s="26">
        <v>4.67</v>
      </c>
      <c r="M39" s="26">
        <v>4.67</v>
      </c>
      <c r="N39" s="26">
        <v>4.67</v>
      </c>
      <c r="O39" s="26">
        <v>4.67</v>
      </c>
      <c r="P39" s="26">
        <v>4.67</v>
      </c>
      <c r="Q39" s="26">
        <v>4.67</v>
      </c>
      <c r="R39" s="26">
        <v>4.67</v>
      </c>
      <c r="S39" s="26">
        <v>4.67</v>
      </c>
      <c r="T39" s="26">
        <v>4.67</v>
      </c>
      <c r="U39" s="8">
        <f aca="true" t="shared" si="9" ref="U39">J39</f>
        <v>4.665330000000001</v>
      </c>
    </row>
    <row r="40" spans="2:21" ht="51" customHeight="1">
      <c r="B40" s="15" t="s">
        <v>120</v>
      </c>
      <c r="C40" s="16" t="s">
        <v>99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2:21" ht="114.75" customHeight="1">
      <c r="B41" s="64" t="s">
        <v>121</v>
      </c>
      <c r="C41" s="16" t="s">
        <v>100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2:21" ht="55.5" customHeight="1">
      <c r="B42" s="15" t="s">
        <v>122</v>
      </c>
      <c r="C42" s="16" t="s">
        <v>148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3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3</v>
      </c>
    </row>
    <row r="43" spans="2:21" ht="31.5" hidden="1">
      <c r="B43" s="15"/>
      <c r="C43" s="17" t="s">
        <v>23</v>
      </c>
      <c r="D43" s="27">
        <v>23456.755</v>
      </c>
      <c r="E43" s="27"/>
      <c r="F43" s="27">
        <f>D43*99.8%</f>
        <v>23409.841490000003</v>
      </c>
      <c r="G43" s="27">
        <f>F43*99.7%</f>
        <v>23339.611965530003</v>
      </c>
      <c r="H43" s="27">
        <f aca="true" t="shared" si="10" ref="H43">G43*99.7%</f>
        <v>23269.593129633413</v>
      </c>
      <c r="I43" s="27">
        <f>23269.59*99.7%</f>
        <v>23199.78123</v>
      </c>
      <c r="J43" s="27">
        <f>I43*99.8%</f>
        <v>23153.38166754</v>
      </c>
      <c r="K43" s="27">
        <f>23269.59*99.7%</f>
        <v>23199.78123</v>
      </c>
      <c r="L43" s="27">
        <f aca="true" t="shared" si="11" ref="L43:U43">23269.59*99.7%</f>
        <v>23199.78123</v>
      </c>
      <c r="M43" s="27">
        <f t="shared" si="11"/>
        <v>23199.78123</v>
      </c>
      <c r="N43" s="27">
        <f t="shared" si="11"/>
        <v>23199.78123</v>
      </c>
      <c r="O43" s="27">
        <f t="shared" si="11"/>
        <v>23199.78123</v>
      </c>
      <c r="P43" s="27">
        <f t="shared" si="11"/>
        <v>23199.78123</v>
      </c>
      <c r="Q43" s="27">
        <f t="shared" si="11"/>
        <v>23199.78123</v>
      </c>
      <c r="R43" s="27">
        <f t="shared" si="11"/>
        <v>23199.78123</v>
      </c>
      <c r="S43" s="27">
        <f t="shared" si="11"/>
        <v>23199.78123</v>
      </c>
      <c r="T43" s="27">
        <f t="shared" si="11"/>
        <v>23199.78123</v>
      </c>
      <c r="U43" s="27">
        <f t="shared" si="11"/>
        <v>23199.78123</v>
      </c>
    </row>
    <row r="44" spans="2:21" ht="15.75" hidden="1">
      <c r="B44" s="15"/>
      <c r="C44" s="17" t="s">
        <v>22</v>
      </c>
      <c r="D44" s="28">
        <v>1253</v>
      </c>
      <c r="E44" s="27"/>
      <c r="F44" s="28">
        <v>1253</v>
      </c>
      <c r="G44" s="28">
        <v>1253</v>
      </c>
      <c r="H44" s="28">
        <v>1253</v>
      </c>
      <c r="I44" s="28">
        <v>1253</v>
      </c>
      <c r="J44" s="28">
        <v>1253</v>
      </c>
      <c r="K44" s="28">
        <v>1253</v>
      </c>
      <c r="L44" s="28">
        <v>1253</v>
      </c>
      <c r="M44" s="28">
        <v>1253</v>
      </c>
      <c r="N44" s="28">
        <v>1253</v>
      </c>
      <c r="O44" s="28">
        <v>1253</v>
      </c>
      <c r="P44" s="28">
        <v>1253</v>
      </c>
      <c r="Q44" s="28">
        <v>1253</v>
      </c>
      <c r="R44" s="28">
        <v>1253</v>
      </c>
      <c r="S44" s="28">
        <v>1253</v>
      </c>
      <c r="T44" s="28">
        <v>1253</v>
      </c>
      <c r="U44" s="28">
        <v>1253</v>
      </c>
    </row>
    <row r="45" spans="2:21" ht="46.8">
      <c r="B45" s="15" t="s">
        <v>123</v>
      </c>
      <c r="C45" s="17" t="s">
        <v>79</v>
      </c>
      <c r="D45" s="29">
        <f>73675/278428.2</f>
        <v>0.26461040943410186</v>
      </c>
      <c r="E45" s="29" t="e">
        <f aca="true" t="shared" si="12" ref="E45">E46/E47</f>
        <v>#DIV/0!</v>
      </c>
      <c r="F45" s="29">
        <f>D45*99.9%</f>
        <v>0.26434579902466776</v>
      </c>
      <c r="G45" s="30">
        <f>(((73675*99.9%)+423.103))/(278428.2+5034.63)</f>
        <v>0.26114333226687964</v>
      </c>
      <c r="H45" s="29">
        <f>((73675+423.103+1268.754))/(278428.2+5034.63+15538.7)</f>
        <v>0.2520617770751875</v>
      </c>
      <c r="I45" s="29">
        <f>0.25*99.9%</f>
        <v>0.24975000000000003</v>
      </c>
      <c r="J45" s="29">
        <f>I45*99.9%</f>
        <v>0.24950025000000006</v>
      </c>
      <c r="K45" s="29">
        <f>J45*99.9%</f>
        <v>0.24925074975000008</v>
      </c>
      <c r="L45" s="29">
        <f aca="true" t="shared" si="13" ref="L45:T45">K45*99.9%</f>
        <v>0.24900149900025012</v>
      </c>
      <c r="M45" s="29">
        <f t="shared" si="13"/>
        <v>0.2487524975012499</v>
      </c>
      <c r="N45" s="29">
        <f t="shared" si="13"/>
        <v>0.24850374500374867</v>
      </c>
      <c r="O45" s="29">
        <f t="shared" si="13"/>
        <v>0.24825524125874496</v>
      </c>
      <c r="P45" s="29">
        <f t="shared" si="13"/>
        <v>0.24800698601748625</v>
      </c>
      <c r="Q45" s="29">
        <f t="shared" si="13"/>
        <v>0.2477589790314688</v>
      </c>
      <c r="R45" s="29">
        <f t="shared" si="13"/>
        <v>0.24751122005243734</v>
      </c>
      <c r="S45" s="29">
        <f t="shared" si="13"/>
        <v>0.24726370883238494</v>
      </c>
      <c r="T45" s="29">
        <f t="shared" si="13"/>
        <v>0.24701644512355259</v>
      </c>
      <c r="U45" s="29">
        <f>J45</f>
        <v>0.24950025000000006</v>
      </c>
    </row>
    <row r="46" spans="1:21" ht="0.75" customHeight="1">
      <c r="A46"/>
      <c r="B46" s="15">
        <v>19</v>
      </c>
      <c r="C46" s="17" t="s">
        <v>24</v>
      </c>
      <c r="D46" s="29">
        <v>73675</v>
      </c>
      <c r="E46" s="29"/>
      <c r="F46" s="8">
        <f>D46*99.8%</f>
        <v>73527.65</v>
      </c>
      <c r="G46" s="29">
        <f>F46+423.103</f>
        <v>73950.753</v>
      </c>
      <c r="H46" s="29">
        <f>G46+1268.754</f>
        <v>75219.507</v>
      </c>
      <c r="I46" s="8">
        <f>75219.51*99.8%</f>
        <v>75069.07097999999</v>
      </c>
      <c r="J46" s="8">
        <f>I46*99.8%</f>
        <v>74918.93283804</v>
      </c>
      <c r="K46" s="8">
        <f>J46*99.8%</f>
        <v>74769.09497236392</v>
      </c>
      <c r="L46" s="8">
        <f aca="true" t="shared" si="14" ref="L46:T46">K46*99.8%</f>
        <v>74619.5567824192</v>
      </c>
      <c r="M46" s="8">
        <f t="shared" si="14"/>
        <v>74470.31766885436</v>
      </c>
      <c r="N46" s="8">
        <f t="shared" si="14"/>
        <v>74321.37703351665</v>
      </c>
      <c r="O46" s="8">
        <f t="shared" si="14"/>
        <v>74172.73427944962</v>
      </c>
      <c r="P46" s="8">
        <f t="shared" si="14"/>
        <v>74024.38881089073</v>
      </c>
      <c r="Q46" s="8">
        <f t="shared" si="14"/>
        <v>73876.34003326895</v>
      </c>
      <c r="R46" s="8">
        <f t="shared" si="14"/>
        <v>73728.58735320241</v>
      </c>
      <c r="S46" s="8">
        <f t="shared" si="14"/>
        <v>73581.13017849601</v>
      </c>
      <c r="T46" s="8">
        <f t="shared" si="14"/>
        <v>73433.96791813902</v>
      </c>
      <c r="U46" s="8">
        <f>T46*99.8%</f>
        <v>73287.09998230275</v>
      </c>
    </row>
    <row r="47" spans="1:21" ht="31.5" hidden="1">
      <c r="A47"/>
      <c r="B47" s="15"/>
      <c r="C47" s="17" t="s">
        <v>25</v>
      </c>
      <c r="D47" s="29">
        <v>278290</v>
      </c>
      <c r="E47" s="29"/>
      <c r="F47" s="29">
        <v>278290</v>
      </c>
      <c r="G47" s="29">
        <f>278290+5034.63</f>
        <v>283324.63</v>
      </c>
      <c r="H47" s="29">
        <f>G47+17538.7</f>
        <v>300863.33</v>
      </c>
      <c r="I47" s="29">
        <v>300863.33</v>
      </c>
      <c r="J47" s="29">
        <f>I47</f>
        <v>300863.33</v>
      </c>
      <c r="K47" s="29">
        <f>J47</f>
        <v>300863.33</v>
      </c>
      <c r="L47" s="29">
        <f aca="true" t="shared" si="15" ref="L47:T47">K47</f>
        <v>300863.33</v>
      </c>
      <c r="M47" s="29">
        <f t="shared" si="15"/>
        <v>300863.33</v>
      </c>
      <c r="N47" s="29">
        <f t="shared" si="15"/>
        <v>300863.33</v>
      </c>
      <c r="O47" s="29">
        <f t="shared" si="15"/>
        <v>300863.33</v>
      </c>
      <c r="P47" s="29">
        <f t="shared" si="15"/>
        <v>300863.33</v>
      </c>
      <c r="Q47" s="29">
        <f t="shared" si="15"/>
        <v>300863.33</v>
      </c>
      <c r="R47" s="29">
        <f t="shared" si="15"/>
        <v>300863.33</v>
      </c>
      <c r="S47" s="29">
        <f t="shared" si="15"/>
        <v>300863.33</v>
      </c>
      <c r="T47" s="29">
        <f t="shared" si="15"/>
        <v>300863.33</v>
      </c>
      <c r="U47" s="29">
        <f>T47</f>
        <v>300863.33</v>
      </c>
    </row>
    <row r="48" spans="1:21" ht="36" customHeight="1">
      <c r="A48"/>
      <c r="B48" s="15" t="s">
        <v>124</v>
      </c>
      <c r="C48" s="17" t="s">
        <v>80</v>
      </c>
      <c r="D48" s="29">
        <v>24.02</v>
      </c>
      <c r="E48" s="29">
        <f aca="true" t="shared" si="16" ref="E48">E49/E50</f>
        <v>0</v>
      </c>
      <c r="F48" s="29">
        <f>D48*99.9%</f>
        <v>23.995980000000003</v>
      </c>
      <c r="G48" s="29">
        <f>((376071+3571.453)/(15615+140))</f>
        <v>24.096633005395113</v>
      </c>
      <c r="H48" s="29">
        <f>((376071+3571.453+9662.886)/(15615+140+450))</f>
        <v>24.02377901882135</v>
      </c>
      <c r="I48" s="29">
        <f>24.02*99.9%</f>
        <v>23.995980000000003</v>
      </c>
      <c r="J48" s="29">
        <f>I48*99.9%</f>
        <v>23.971984020000004</v>
      </c>
      <c r="K48" s="29">
        <v>23.97</v>
      </c>
      <c r="L48" s="29">
        <v>23.97</v>
      </c>
      <c r="M48" s="29">
        <v>23.97</v>
      </c>
      <c r="N48" s="29">
        <v>23.97</v>
      </c>
      <c r="O48" s="29">
        <v>23.97</v>
      </c>
      <c r="P48" s="29">
        <v>23.97</v>
      </c>
      <c r="Q48" s="29">
        <v>23.97</v>
      </c>
      <c r="R48" s="29">
        <v>23.97</v>
      </c>
      <c r="S48" s="29">
        <v>23.97</v>
      </c>
      <c r="T48" s="29">
        <f aca="true" t="shared" si="17" ref="T48">S48*99.9%</f>
        <v>23.94603</v>
      </c>
      <c r="U48" s="29">
        <f>287.64/12</f>
        <v>23.97</v>
      </c>
    </row>
    <row r="49" spans="1:21" ht="31.5" hidden="1">
      <c r="A49"/>
      <c r="B49" s="15"/>
      <c r="C49" s="17" t="s">
        <v>26</v>
      </c>
      <c r="D49" s="29">
        <v>376071</v>
      </c>
      <c r="E49" s="29"/>
      <c r="F49" s="8">
        <f>D49*99.8%</f>
        <v>375318.858</v>
      </c>
      <c r="G49" s="29">
        <f>F49+3571.453</f>
        <v>378890.311</v>
      </c>
      <c r="H49" s="29">
        <f>G49+9662.886</f>
        <v>388553.197</v>
      </c>
      <c r="I49" s="8">
        <f>388553.2*99.8%</f>
        <v>387776.0936</v>
      </c>
      <c r="J49" s="8">
        <f>I49*99.8%</f>
        <v>387000.5414128</v>
      </c>
      <c r="K49" s="8">
        <f>J49*99.8%</f>
        <v>386226.54032997444</v>
      </c>
      <c r="L49" s="8">
        <f aca="true" t="shared" si="18" ref="L49:T49">K49*99.8%</f>
        <v>385454.08724931447</v>
      </c>
      <c r="M49" s="8">
        <f t="shared" si="18"/>
        <v>384683.1790748158</v>
      </c>
      <c r="N49" s="8">
        <f t="shared" si="18"/>
        <v>383913.8127166662</v>
      </c>
      <c r="O49" s="8">
        <f t="shared" si="18"/>
        <v>383145.98509123287</v>
      </c>
      <c r="P49" s="8">
        <f t="shared" si="18"/>
        <v>382379.6931210504</v>
      </c>
      <c r="Q49" s="8">
        <f t="shared" si="18"/>
        <v>381614.93373480835</v>
      </c>
      <c r="R49" s="8">
        <f t="shared" si="18"/>
        <v>380851.7038673387</v>
      </c>
      <c r="S49" s="8">
        <f t="shared" si="18"/>
        <v>380090.000459604</v>
      </c>
      <c r="T49" s="8">
        <f t="shared" si="18"/>
        <v>379329.8204586848</v>
      </c>
      <c r="U49" s="8">
        <f>T49*99.8%</f>
        <v>378571.16081776744</v>
      </c>
    </row>
    <row r="50" spans="1:21" ht="31.5" hidden="1">
      <c r="A50"/>
      <c r="B50" s="15"/>
      <c r="C50" s="17" t="s">
        <v>27</v>
      </c>
      <c r="D50" s="31">
        <v>15486</v>
      </c>
      <c r="E50" s="31">
        <v>15486</v>
      </c>
      <c r="F50" s="31">
        <v>15486</v>
      </c>
      <c r="G50" s="32">
        <f>F50+140</f>
        <v>15626</v>
      </c>
      <c r="H50" s="31">
        <f>G50+450</f>
        <v>16076</v>
      </c>
      <c r="I50" s="31">
        <f>16076</f>
        <v>16076</v>
      </c>
      <c r="J50" s="31">
        <f>I50</f>
        <v>16076</v>
      </c>
      <c r="K50" s="31">
        <f>J50</f>
        <v>16076</v>
      </c>
      <c r="L50" s="31">
        <f aca="true" t="shared" si="19" ref="L50:T50">K50</f>
        <v>16076</v>
      </c>
      <c r="M50" s="31">
        <f t="shared" si="19"/>
        <v>16076</v>
      </c>
      <c r="N50" s="31">
        <f t="shared" si="19"/>
        <v>16076</v>
      </c>
      <c r="O50" s="31">
        <f t="shared" si="19"/>
        <v>16076</v>
      </c>
      <c r="P50" s="31">
        <f t="shared" si="19"/>
        <v>16076</v>
      </c>
      <c r="Q50" s="31">
        <f t="shared" si="19"/>
        <v>16076</v>
      </c>
      <c r="R50" s="31">
        <f t="shared" si="19"/>
        <v>16076</v>
      </c>
      <c r="S50" s="31">
        <f t="shared" si="19"/>
        <v>16076</v>
      </c>
      <c r="T50" s="31">
        <f t="shared" si="19"/>
        <v>16076</v>
      </c>
      <c r="U50" s="31">
        <f>T50</f>
        <v>16076</v>
      </c>
    </row>
    <row r="51" spans="1:21" ht="31.2">
      <c r="A51"/>
      <c r="B51" s="15" t="s">
        <v>125</v>
      </c>
      <c r="C51" s="17" t="s">
        <v>81</v>
      </c>
      <c r="D51" s="29">
        <f>238560/15615</f>
        <v>15.2776176753122</v>
      </c>
      <c r="E51" s="29" t="e">
        <f aca="true" t="shared" si="20" ref="E51">E52/E53</f>
        <v>#DIV/0!</v>
      </c>
      <c r="F51" s="29">
        <f>D51*99.9%</f>
        <v>15.262340057636889</v>
      </c>
      <c r="G51" s="29">
        <f>((238560+1983.505)/(15615+140))</f>
        <v>15.267756585211044</v>
      </c>
      <c r="H51" s="29">
        <f>((238560+1983.505+6939.842)/(15615+140+450))</f>
        <v>15.272036223387843</v>
      </c>
      <c r="I51" s="29">
        <v>15.26</v>
      </c>
      <c r="J51" s="29">
        <f>I51*99.9%</f>
        <v>15.244740000000002</v>
      </c>
      <c r="K51" s="29">
        <v>15.24</v>
      </c>
      <c r="L51" s="29">
        <v>15.24</v>
      </c>
      <c r="M51" s="29">
        <v>15.24</v>
      </c>
      <c r="N51" s="29">
        <v>15.24</v>
      </c>
      <c r="O51" s="29">
        <v>15.24</v>
      </c>
      <c r="P51" s="29">
        <v>15.24</v>
      </c>
      <c r="Q51" s="29">
        <v>15.24</v>
      </c>
      <c r="R51" s="29">
        <v>15.24</v>
      </c>
      <c r="S51" s="29">
        <v>15.24</v>
      </c>
      <c r="T51" s="29">
        <v>15.24</v>
      </c>
      <c r="U51" s="29">
        <f>182.9/12</f>
        <v>15.241666666666667</v>
      </c>
    </row>
    <row r="52" spans="1:21" ht="0.75" customHeight="1">
      <c r="A52"/>
      <c r="B52" s="15">
        <v>22</v>
      </c>
      <c r="C52" s="17" t="s">
        <v>28</v>
      </c>
      <c r="D52" s="29">
        <v>238564</v>
      </c>
      <c r="E52" s="29"/>
      <c r="F52" s="8">
        <f>D52*99.8%</f>
        <v>238086.872</v>
      </c>
      <c r="G52" s="29">
        <f>F52+1983.505</f>
        <v>240070.377</v>
      </c>
      <c r="H52" s="29">
        <f>G52+6939.842</f>
        <v>247010.219</v>
      </c>
      <c r="I52" s="8">
        <f>247010.22*99.8%</f>
        <v>246516.19956</v>
      </c>
      <c r="J52" s="8">
        <f>I52*99.8%</f>
        <v>246023.16716088</v>
      </c>
      <c r="K52" s="8">
        <f>J52*99.8%</f>
        <v>245531.12082655824</v>
      </c>
      <c r="L52" s="8">
        <f aca="true" t="shared" si="21" ref="L52:T52">K52*99.8%</f>
        <v>245040.0585849051</v>
      </c>
      <c r="M52" s="8">
        <f t="shared" si="21"/>
        <v>244549.97846773532</v>
      </c>
      <c r="N52" s="8">
        <f t="shared" si="21"/>
        <v>244060.87851079984</v>
      </c>
      <c r="O52" s="8">
        <f t="shared" si="21"/>
        <v>243572.75675377823</v>
      </c>
      <c r="P52" s="8">
        <f t="shared" si="21"/>
        <v>243085.61124027066</v>
      </c>
      <c r="Q52" s="8">
        <f t="shared" si="21"/>
        <v>242599.44001779013</v>
      </c>
      <c r="R52" s="8">
        <f t="shared" si="21"/>
        <v>242114.24113775455</v>
      </c>
      <c r="S52" s="8">
        <f t="shared" si="21"/>
        <v>241630.01265547905</v>
      </c>
      <c r="T52" s="8">
        <f t="shared" si="21"/>
        <v>241146.75263016808</v>
      </c>
      <c r="U52" s="8">
        <f>T52*99.8%</f>
        <v>240664.45912490773</v>
      </c>
    </row>
    <row r="53" spans="1:21" ht="31.5" hidden="1">
      <c r="A53"/>
      <c r="B53" s="15"/>
      <c r="C53" s="17" t="s">
        <v>27</v>
      </c>
      <c r="D53" s="31">
        <v>15486</v>
      </c>
      <c r="E53" s="29"/>
      <c r="F53" s="31">
        <v>15486</v>
      </c>
      <c r="G53" s="32">
        <f>F53+140</f>
        <v>15626</v>
      </c>
      <c r="H53" s="31">
        <f>G53+450</f>
        <v>16076</v>
      </c>
      <c r="I53" s="31">
        <f>16076</f>
        <v>16076</v>
      </c>
      <c r="J53" s="31">
        <f>I53</f>
        <v>16076</v>
      </c>
      <c r="K53" s="31">
        <f>J53</f>
        <v>16076</v>
      </c>
      <c r="L53" s="31">
        <f aca="true" t="shared" si="22" ref="L53:T53">K53</f>
        <v>16076</v>
      </c>
      <c r="M53" s="31">
        <f t="shared" si="22"/>
        <v>16076</v>
      </c>
      <c r="N53" s="31">
        <f t="shared" si="22"/>
        <v>16076</v>
      </c>
      <c r="O53" s="31">
        <f t="shared" si="22"/>
        <v>16076</v>
      </c>
      <c r="P53" s="31">
        <f t="shared" si="22"/>
        <v>16076</v>
      </c>
      <c r="Q53" s="31">
        <f t="shared" si="22"/>
        <v>16076</v>
      </c>
      <c r="R53" s="31">
        <f t="shared" si="22"/>
        <v>16076</v>
      </c>
      <c r="S53" s="31">
        <f t="shared" si="22"/>
        <v>16076</v>
      </c>
      <c r="T53" s="31">
        <f t="shared" si="22"/>
        <v>16076</v>
      </c>
      <c r="U53" s="31">
        <f>T53</f>
        <v>16076</v>
      </c>
    </row>
    <row r="54" spans="1:21" ht="46.8">
      <c r="A54"/>
      <c r="B54" s="15" t="s">
        <v>126</v>
      </c>
      <c r="C54" s="17" t="s">
        <v>82</v>
      </c>
      <c r="D54" s="8">
        <v>46.44</v>
      </c>
      <c r="E54" s="8" t="e">
        <f aca="true" t="shared" si="23" ref="E54">E55/E56</f>
        <v>#DIV/0!</v>
      </c>
      <c r="F54" s="8">
        <f>D54*99.9%</f>
        <v>46.39356</v>
      </c>
      <c r="G54" s="8">
        <f>((13724460+106561.369)/(278428.2+5034.63))</f>
        <v>48.793068809056905</v>
      </c>
      <c r="H54" s="8">
        <f>((13724460+106561.369+147511.529)/(278428.2+5034.63+17538.7))</f>
        <v>46.44007257371748</v>
      </c>
      <c r="I54" s="8">
        <f>46.44*99.9%</f>
        <v>46.39356</v>
      </c>
      <c r="J54" s="8">
        <f>I54*99.9%</f>
        <v>46.34716644000001</v>
      </c>
      <c r="K54" s="8">
        <v>46.35</v>
      </c>
      <c r="L54" s="8">
        <v>46.35</v>
      </c>
      <c r="M54" s="8">
        <v>46.35</v>
      </c>
      <c r="N54" s="8">
        <v>46.35</v>
      </c>
      <c r="O54" s="8">
        <v>46.35</v>
      </c>
      <c r="P54" s="8">
        <v>46.35</v>
      </c>
      <c r="Q54" s="8">
        <v>46.35</v>
      </c>
      <c r="R54" s="8">
        <v>46.35</v>
      </c>
      <c r="S54" s="8">
        <v>46.35</v>
      </c>
      <c r="T54" s="8">
        <v>46.35</v>
      </c>
      <c r="U54" s="8">
        <f>556.24/12</f>
        <v>46.35333333333333</v>
      </c>
    </row>
    <row r="55" spans="1:21" ht="31.5" hidden="1">
      <c r="A55"/>
      <c r="B55" s="15"/>
      <c r="C55" s="17" t="s">
        <v>29</v>
      </c>
      <c r="D55" s="8">
        <v>13724460</v>
      </c>
      <c r="E55" s="8"/>
      <c r="F55" s="8">
        <f>D55*99.8%</f>
        <v>13697011.08</v>
      </c>
      <c r="G55" s="8">
        <f>F55+106561.369</f>
        <v>13803572.449000001</v>
      </c>
      <c r="H55" s="8">
        <f>G55+147511.529</f>
        <v>13951083.978</v>
      </c>
      <c r="I55" s="8">
        <f>13951038.98*99.8%</f>
        <v>13923136.902040001</v>
      </c>
      <c r="J55" s="8">
        <f>I55*99.8%</f>
        <v>13895290.628235921</v>
      </c>
      <c r="K55" s="8">
        <f>J55*99.8%</f>
        <v>13867500.04697945</v>
      </c>
      <c r="L55" s="8">
        <f aca="true" t="shared" si="24" ref="L55:T55">K55*99.8%</f>
        <v>13839765.04688549</v>
      </c>
      <c r="M55" s="8">
        <f t="shared" si="24"/>
        <v>13812085.51679172</v>
      </c>
      <c r="N55" s="8">
        <f t="shared" si="24"/>
        <v>13784461.345758136</v>
      </c>
      <c r="O55" s="8">
        <f t="shared" si="24"/>
        <v>13756892.42306662</v>
      </c>
      <c r="P55" s="8">
        <f t="shared" si="24"/>
        <v>13729378.638220487</v>
      </c>
      <c r="Q55" s="8">
        <f t="shared" si="24"/>
        <v>13701919.880944045</v>
      </c>
      <c r="R55" s="8">
        <f t="shared" si="24"/>
        <v>13674516.041182157</v>
      </c>
      <c r="S55" s="8">
        <f t="shared" si="24"/>
        <v>13647167.009099793</v>
      </c>
      <c r="T55" s="8">
        <f t="shared" si="24"/>
        <v>13619872.675081594</v>
      </c>
      <c r="U55" s="8">
        <f>T55*99.8%</f>
        <v>13592632.92973143</v>
      </c>
    </row>
    <row r="56" spans="1:21" ht="31.5" hidden="1">
      <c r="A56"/>
      <c r="B56" s="54"/>
      <c r="C56" s="33" t="s">
        <v>25</v>
      </c>
      <c r="D56" s="34">
        <v>278290</v>
      </c>
      <c r="E56" s="34"/>
      <c r="F56" s="35">
        <v>278290</v>
      </c>
      <c r="G56" s="35">
        <f>278290+5034.63</f>
        <v>283324.63</v>
      </c>
      <c r="H56" s="35">
        <f>G56+17538.7</f>
        <v>300863.33</v>
      </c>
      <c r="I56" s="35">
        <v>300863.33</v>
      </c>
      <c r="J56" s="35">
        <f>I56</f>
        <v>300863.33</v>
      </c>
      <c r="K56" s="35">
        <f>J56</f>
        <v>300863.33</v>
      </c>
      <c r="L56" s="35">
        <f aca="true" t="shared" si="25" ref="L56:T56">K56</f>
        <v>300863.33</v>
      </c>
      <c r="M56" s="35">
        <f t="shared" si="25"/>
        <v>300863.33</v>
      </c>
      <c r="N56" s="35">
        <f t="shared" si="25"/>
        <v>300863.33</v>
      </c>
      <c r="O56" s="35">
        <f t="shared" si="25"/>
        <v>300863.33</v>
      </c>
      <c r="P56" s="35">
        <f t="shared" si="25"/>
        <v>300863.33</v>
      </c>
      <c r="Q56" s="35">
        <f t="shared" si="25"/>
        <v>300863.33</v>
      </c>
      <c r="R56" s="35">
        <f t="shared" si="25"/>
        <v>300863.33</v>
      </c>
      <c r="S56" s="35">
        <f t="shared" si="25"/>
        <v>300863.33</v>
      </c>
      <c r="T56" s="35">
        <f t="shared" si="25"/>
        <v>300863.33</v>
      </c>
      <c r="U56" s="35">
        <f>T56</f>
        <v>300863.33</v>
      </c>
    </row>
    <row r="57" spans="1:21" ht="63.75" customHeight="1">
      <c r="A57"/>
      <c r="B57" s="66" t="s">
        <v>127</v>
      </c>
      <c r="C57" s="72" t="s">
        <v>101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</row>
    <row r="58" spans="1:21" ht="55.5" customHeight="1">
      <c r="A58"/>
      <c r="B58" s="66" t="s">
        <v>128</v>
      </c>
      <c r="C58" s="75" t="s">
        <v>102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</row>
    <row r="59" spans="1:21" ht="31.2">
      <c r="A59"/>
      <c r="B59" s="15" t="s">
        <v>129</v>
      </c>
      <c r="C59" s="36" t="s">
        <v>83</v>
      </c>
      <c r="D59" s="20">
        <f>((13724.46*0.3446)+(73675*0.1486))/278428.2</f>
        <v>0.05630734931303654</v>
      </c>
      <c r="E59" s="20" t="e">
        <f aca="true" t="shared" si="26" ref="E59">E60/E61</f>
        <v>#DIV/0!</v>
      </c>
      <c r="F59" s="20">
        <f>D59*99.9%</f>
        <v>0.05625104196372351</v>
      </c>
      <c r="G59" s="20">
        <f>(((13724.46+106.561)*0.3446)+((73675+423.103)*0.1486))/(278428.2+5034.63)</f>
        <v>0.055658612956062</v>
      </c>
      <c r="H59" s="20">
        <f>(((13724.46+106.561+147.511)*0.3446)+((73675+423.103+1268.754)*0.1486))/(278428.2+5034.63+17538.7)</f>
        <v>0.0532107497174516</v>
      </c>
      <c r="I59" s="20">
        <f>0.053*99.9%</f>
        <v>0.052947</v>
      </c>
      <c r="J59" s="20">
        <f>I59*99.9%</f>
        <v>0.052894053</v>
      </c>
      <c r="K59" s="20">
        <f>J59*99.9%</f>
        <v>0.05284115894700001</v>
      </c>
      <c r="L59" s="20">
        <f aca="true" t="shared" si="27" ref="L59:T59">K59*99.9%</f>
        <v>0.05278831778805302</v>
      </c>
      <c r="M59" s="20">
        <f t="shared" si="27"/>
        <v>0.052735529470264976</v>
      </c>
      <c r="N59" s="20">
        <f t="shared" si="27"/>
        <v>0.05268279394079472</v>
      </c>
      <c r="O59" s="20">
        <f t="shared" si="27"/>
        <v>0.05263011114685393</v>
      </c>
      <c r="P59" s="20">
        <f t="shared" si="27"/>
        <v>0.052577481035707085</v>
      </c>
      <c r="Q59" s="20">
        <f t="shared" si="27"/>
        <v>0.05252490355467138</v>
      </c>
      <c r="R59" s="20">
        <v>0.053</v>
      </c>
      <c r="S59" s="20">
        <f t="shared" si="27"/>
        <v>0.052947</v>
      </c>
      <c r="T59" s="20">
        <f t="shared" si="27"/>
        <v>0.052894053</v>
      </c>
      <c r="U59" s="20">
        <f>T59*99.9%</f>
        <v>0.05284115894700001</v>
      </c>
    </row>
    <row r="60" spans="1:21" ht="31.5" hidden="1">
      <c r="A60"/>
      <c r="B60" s="73"/>
      <c r="C60" s="74" t="s">
        <v>30</v>
      </c>
      <c r="D60" s="37">
        <v>18293.48</v>
      </c>
      <c r="E60" s="37"/>
      <c r="F60" s="37">
        <f>((F46*0.1486)+(13697.011*0.3445))</f>
        <v>15644.8290795</v>
      </c>
      <c r="G60" s="37">
        <f>((G46*0.1486)+(13803.57*0.3445))</f>
        <v>15744.4117608</v>
      </c>
      <c r="H60" s="37">
        <f>((H46*0.1486)+(13951.083*0.3445))</f>
        <v>15983.7668337</v>
      </c>
      <c r="I60" s="37">
        <f>((I46*0.1486)+(13923.181*0.3445))</f>
        <v>15951.799802127998</v>
      </c>
      <c r="J60" s="37">
        <f>((J46*0.1486)+(13895.335*0.3445))</f>
        <v>15919.896327232744</v>
      </c>
      <c r="K60" s="37">
        <f>((K46*0.1486)+(13895.335*0.3445))</f>
        <v>15897.630420393278</v>
      </c>
      <c r="L60" s="37">
        <f aca="true" t="shared" si="28" ref="L60:U60">((L46*0.1486)+(13895.335*0.3445))</f>
        <v>15875.409045367493</v>
      </c>
      <c r="M60" s="37">
        <f t="shared" si="28"/>
        <v>15853.232113091757</v>
      </c>
      <c r="N60" s="37">
        <f t="shared" si="28"/>
        <v>15831.099534680574</v>
      </c>
      <c r="O60" s="37">
        <f t="shared" si="28"/>
        <v>15809.011221426214</v>
      </c>
      <c r="P60" s="37">
        <f t="shared" si="28"/>
        <v>15786.967084798362</v>
      </c>
      <c r="Q60" s="37">
        <f t="shared" si="28"/>
        <v>15764.967036443766</v>
      </c>
      <c r="R60" s="37">
        <f t="shared" si="28"/>
        <v>15743.010988185879</v>
      </c>
      <c r="S60" s="37">
        <f t="shared" si="28"/>
        <v>15721.098852024506</v>
      </c>
      <c r="T60" s="37">
        <f t="shared" si="28"/>
        <v>15699.230540135459</v>
      </c>
      <c r="U60" s="37">
        <f t="shared" si="28"/>
        <v>15677.405964870188</v>
      </c>
    </row>
    <row r="61" spans="1:21" ht="31.5" hidden="1">
      <c r="A61"/>
      <c r="B61" s="15"/>
      <c r="C61" s="17" t="s">
        <v>25</v>
      </c>
      <c r="D61" s="27">
        <v>278290</v>
      </c>
      <c r="E61" s="27"/>
      <c r="F61" s="38">
        <v>278290</v>
      </c>
      <c r="G61" s="38">
        <f>278290+5034.63</f>
        <v>283324.63</v>
      </c>
      <c r="H61" s="38">
        <f>G61+17538.7</f>
        <v>300863.33</v>
      </c>
      <c r="I61" s="38">
        <v>300863.33</v>
      </c>
      <c r="J61" s="38">
        <f>I61</f>
        <v>300863.33</v>
      </c>
      <c r="K61" s="38">
        <f>J61</f>
        <v>300863.33</v>
      </c>
      <c r="L61" s="38">
        <f aca="true" t="shared" si="29" ref="L61:U61">K61</f>
        <v>300863.33</v>
      </c>
      <c r="M61" s="38">
        <f t="shared" si="29"/>
        <v>300863.33</v>
      </c>
      <c r="N61" s="38">
        <f t="shared" si="29"/>
        <v>300863.33</v>
      </c>
      <c r="O61" s="38">
        <f t="shared" si="29"/>
        <v>300863.33</v>
      </c>
      <c r="P61" s="38">
        <f t="shared" si="29"/>
        <v>300863.33</v>
      </c>
      <c r="Q61" s="38">
        <f t="shared" si="29"/>
        <v>300863.33</v>
      </c>
      <c r="R61" s="38">
        <f t="shared" si="29"/>
        <v>300863.33</v>
      </c>
      <c r="S61" s="38">
        <f t="shared" si="29"/>
        <v>300863.33</v>
      </c>
      <c r="T61" s="38">
        <f t="shared" si="29"/>
        <v>300863.33</v>
      </c>
      <c r="U61" s="38">
        <f t="shared" si="29"/>
        <v>300863.33</v>
      </c>
    </row>
    <row r="62" spans="2:21" s="67" customFormat="1" ht="41.25" customHeight="1">
      <c r="B62" s="64" t="s">
        <v>130</v>
      </c>
      <c r="C62" s="39" t="s">
        <v>103</v>
      </c>
      <c r="D62" s="68">
        <v>0</v>
      </c>
      <c r="E62" s="68"/>
      <c r="F62" s="69"/>
      <c r="G62" s="69"/>
      <c r="H62" s="69"/>
      <c r="I62" s="69">
        <v>0</v>
      </c>
      <c r="J62" s="69">
        <v>0</v>
      </c>
      <c r="K62" s="69">
        <v>0</v>
      </c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1:21" ht="31.2">
      <c r="A63"/>
      <c r="B63" s="11" t="s">
        <v>131</v>
      </c>
      <c r="C63" s="39" t="s">
        <v>84</v>
      </c>
      <c r="D63" s="8">
        <v>150.85</v>
      </c>
      <c r="E63" s="8">
        <v>158.73</v>
      </c>
      <c r="F63" s="8">
        <v>150.85</v>
      </c>
      <c r="G63" s="8">
        <v>150.85</v>
      </c>
      <c r="H63" s="8">
        <v>150.85</v>
      </c>
      <c r="I63" s="8">
        <v>150.85</v>
      </c>
      <c r="J63" s="8">
        <v>150.85</v>
      </c>
      <c r="K63" s="8">
        <v>150.85</v>
      </c>
      <c r="L63" s="8">
        <v>150.85</v>
      </c>
      <c r="M63" s="8">
        <v>150.85</v>
      </c>
      <c r="N63" s="8">
        <v>150.85</v>
      </c>
      <c r="O63" s="8">
        <v>150.85</v>
      </c>
      <c r="P63" s="8">
        <v>150.85</v>
      </c>
      <c r="Q63" s="8">
        <v>150.85</v>
      </c>
      <c r="R63" s="8">
        <v>150.85</v>
      </c>
      <c r="S63" s="8">
        <v>150.85</v>
      </c>
      <c r="T63" s="8">
        <v>150.85</v>
      </c>
      <c r="U63" s="8">
        <v>150.85</v>
      </c>
    </row>
    <row r="64" spans="2:21" ht="15.75" hidden="1">
      <c r="B64" s="11"/>
      <c r="C64" s="39" t="s">
        <v>31</v>
      </c>
      <c r="D64" s="24">
        <v>163720</v>
      </c>
      <c r="E64" s="24"/>
      <c r="F64" s="24">
        <v>163720</v>
      </c>
      <c r="G64" s="24">
        <v>163720</v>
      </c>
      <c r="H64" s="24">
        <v>163720</v>
      </c>
      <c r="I64" s="24">
        <v>163720</v>
      </c>
      <c r="J64" s="24">
        <v>163720</v>
      </c>
      <c r="K64" s="24">
        <v>163720</v>
      </c>
      <c r="L64" s="24">
        <v>163720</v>
      </c>
      <c r="M64" s="24">
        <v>163720</v>
      </c>
      <c r="N64" s="24">
        <v>163720</v>
      </c>
      <c r="O64" s="24">
        <v>163720</v>
      </c>
      <c r="P64" s="24">
        <v>163720</v>
      </c>
      <c r="Q64" s="24">
        <v>163720</v>
      </c>
      <c r="R64" s="24">
        <v>163720</v>
      </c>
      <c r="S64" s="24">
        <v>163720</v>
      </c>
      <c r="T64" s="24">
        <v>163720</v>
      </c>
      <c r="U64" s="24">
        <v>163720</v>
      </c>
    </row>
    <row r="65" spans="2:21" ht="15.75" hidden="1">
      <c r="B65" s="11"/>
      <c r="C65" s="39" t="s">
        <v>32</v>
      </c>
      <c r="D65" s="24">
        <v>25861.21</v>
      </c>
      <c r="E65" s="24"/>
      <c r="F65" s="24">
        <v>25861.21</v>
      </c>
      <c r="G65" s="24">
        <v>25861.21</v>
      </c>
      <c r="H65" s="24">
        <v>25861.21</v>
      </c>
      <c r="I65" s="24">
        <v>25861.21</v>
      </c>
      <c r="J65" s="24">
        <v>25861.21</v>
      </c>
      <c r="K65" s="24">
        <v>25861.21</v>
      </c>
      <c r="L65" s="24">
        <v>25861.21</v>
      </c>
      <c r="M65" s="24">
        <v>25861.21</v>
      </c>
      <c r="N65" s="24">
        <v>25861.21</v>
      </c>
      <c r="O65" s="24">
        <v>25861.21</v>
      </c>
      <c r="P65" s="24">
        <v>25861.21</v>
      </c>
      <c r="Q65" s="24">
        <v>25861.21</v>
      </c>
      <c r="R65" s="24">
        <v>25861.21</v>
      </c>
      <c r="S65" s="24">
        <v>25861.21</v>
      </c>
      <c r="T65" s="24">
        <v>25861.21</v>
      </c>
      <c r="U65" s="24">
        <v>25861.21</v>
      </c>
    </row>
    <row r="66" spans="2:21" ht="46.8">
      <c r="B66" s="11" t="s">
        <v>132</v>
      </c>
      <c r="C66" s="39" t="s">
        <v>85</v>
      </c>
      <c r="D66" s="8">
        <v>12.6</v>
      </c>
      <c r="E66" s="8">
        <v>28</v>
      </c>
      <c r="F66" s="8">
        <v>12.6</v>
      </c>
      <c r="G66" s="8">
        <v>12.6</v>
      </c>
      <c r="H66" s="8">
        <v>12.6</v>
      </c>
      <c r="I66" s="8">
        <v>12.6</v>
      </c>
      <c r="J66" s="8">
        <v>12.6</v>
      </c>
      <c r="K66" s="8">
        <v>12.6</v>
      </c>
      <c r="L66" s="8">
        <v>12.6</v>
      </c>
      <c r="M66" s="8">
        <v>12.6</v>
      </c>
      <c r="N66" s="8">
        <v>12.6</v>
      </c>
      <c r="O66" s="8">
        <v>12.6</v>
      </c>
      <c r="P66" s="8">
        <v>12.6</v>
      </c>
      <c r="Q66" s="8">
        <v>12.6</v>
      </c>
      <c r="R66" s="8">
        <v>12.6</v>
      </c>
      <c r="S66" s="8">
        <v>12.6</v>
      </c>
      <c r="T66" s="8">
        <v>12.6</v>
      </c>
      <c r="U66" s="8">
        <v>12.6</v>
      </c>
    </row>
    <row r="67" spans="2:21" ht="15.75" hidden="1">
      <c r="B67" s="11"/>
      <c r="C67" s="39" t="s">
        <v>33</v>
      </c>
      <c r="D67" s="24">
        <v>1757143</v>
      </c>
      <c r="E67" s="24"/>
      <c r="F67" s="24">
        <v>1757143</v>
      </c>
      <c r="G67" s="24">
        <v>1757143</v>
      </c>
      <c r="H67" s="24">
        <v>1757143</v>
      </c>
      <c r="I67" s="24">
        <v>1757143</v>
      </c>
      <c r="J67" s="24">
        <v>1757143</v>
      </c>
      <c r="K67" s="24">
        <v>1757143</v>
      </c>
      <c r="L67" s="24">
        <v>1757143</v>
      </c>
      <c r="M67" s="24">
        <v>1757143</v>
      </c>
      <c r="N67" s="24">
        <v>1757143</v>
      </c>
      <c r="O67" s="24">
        <v>1757143</v>
      </c>
      <c r="P67" s="24">
        <v>1757143</v>
      </c>
      <c r="Q67" s="24">
        <v>1757143</v>
      </c>
      <c r="R67" s="24">
        <v>1757143</v>
      </c>
      <c r="S67" s="24">
        <v>1757143</v>
      </c>
      <c r="T67" s="24">
        <v>1757143</v>
      </c>
      <c r="U67" s="24">
        <v>1757143</v>
      </c>
    </row>
    <row r="68" spans="2:21" ht="15.75" hidden="1">
      <c r="B68" s="11"/>
      <c r="C68" s="39" t="s">
        <v>34</v>
      </c>
      <c r="D68" s="24">
        <v>139480.717</v>
      </c>
      <c r="E68" s="24"/>
      <c r="F68" s="24">
        <v>139480.717</v>
      </c>
      <c r="G68" s="24">
        <v>139480.717</v>
      </c>
      <c r="H68" s="24">
        <v>139480.717</v>
      </c>
      <c r="I68" s="24">
        <v>139480.717</v>
      </c>
      <c r="J68" s="24">
        <v>139480.717</v>
      </c>
      <c r="K68" s="24">
        <v>139480.717</v>
      </c>
      <c r="L68" s="24">
        <v>139480.717</v>
      </c>
      <c r="M68" s="24">
        <v>139480.717</v>
      </c>
      <c r="N68" s="24">
        <v>139480.717</v>
      </c>
      <c r="O68" s="24">
        <v>139480.717</v>
      </c>
      <c r="P68" s="24">
        <v>139480.717</v>
      </c>
      <c r="Q68" s="24">
        <v>139480.717</v>
      </c>
      <c r="R68" s="24">
        <v>139480.717</v>
      </c>
      <c r="S68" s="24">
        <v>139480.717</v>
      </c>
      <c r="T68" s="24">
        <v>139480.717</v>
      </c>
      <c r="U68" s="24">
        <v>139480.717</v>
      </c>
    </row>
    <row r="69" spans="2:21" ht="31.2">
      <c r="B69" s="11" t="s">
        <v>133</v>
      </c>
      <c r="C69" s="39" t="s">
        <v>86</v>
      </c>
      <c r="D69" s="8">
        <v>10.58</v>
      </c>
      <c r="E69" s="8">
        <v>9</v>
      </c>
      <c r="F69" s="8">
        <v>10.58</v>
      </c>
      <c r="G69" s="8">
        <v>10.58</v>
      </c>
      <c r="H69" s="8">
        <v>10.58</v>
      </c>
      <c r="I69" s="8">
        <v>10.58</v>
      </c>
      <c r="J69" s="8">
        <v>10.58</v>
      </c>
      <c r="K69" s="8">
        <v>10.58</v>
      </c>
      <c r="L69" s="8">
        <v>10.58</v>
      </c>
      <c r="M69" s="8">
        <v>10.58</v>
      </c>
      <c r="N69" s="8">
        <v>10.58</v>
      </c>
      <c r="O69" s="8">
        <v>10.58</v>
      </c>
      <c r="P69" s="8">
        <v>10.58</v>
      </c>
      <c r="Q69" s="8">
        <v>10.58</v>
      </c>
      <c r="R69" s="8">
        <v>10.58</v>
      </c>
      <c r="S69" s="8">
        <v>10.58</v>
      </c>
      <c r="T69" s="8">
        <v>10.58</v>
      </c>
      <c r="U69" s="8">
        <v>10.58</v>
      </c>
    </row>
    <row r="70" spans="2:21" ht="15.75" hidden="1">
      <c r="B70" s="11"/>
      <c r="C70" s="39" t="s">
        <v>35</v>
      </c>
      <c r="D70" s="24">
        <v>155986.231</v>
      </c>
      <c r="E70" s="24"/>
      <c r="F70" s="24">
        <v>155986.231</v>
      </c>
      <c r="G70" s="24">
        <v>155986.231</v>
      </c>
      <c r="H70" s="24">
        <v>155986.231</v>
      </c>
      <c r="I70" s="24">
        <v>155986.231</v>
      </c>
      <c r="J70" s="24">
        <v>155986.231</v>
      </c>
      <c r="K70" s="24">
        <v>155986.231</v>
      </c>
      <c r="L70" s="24">
        <v>155986.231</v>
      </c>
      <c r="M70" s="24">
        <v>155986.231</v>
      </c>
      <c r="N70" s="24">
        <v>155986.231</v>
      </c>
      <c r="O70" s="24">
        <v>155986.231</v>
      </c>
      <c r="P70" s="24">
        <v>155986.231</v>
      </c>
      <c r="Q70" s="24">
        <v>155986.231</v>
      </c>
      <c r="R70" s="24">
        <v>155986.231</v>
      </c>
      <c r="S70" s="24">
        <v>155986.231</v>
      </c>
      <c r="T70" s="24">
        <v>155986.231</v>
      </c>
      <c r="U70" s="24">
        <v>155986.231</v>
      </c>
    </row>
    <row r="71" spans="2:21" ht="15.75" hidden="1">
      <c r="B71" s="11"/>
      <c r="C71" s="39" t="s">
        <v>36</v>
      </c>
      <c r="D71" s="24">
        <v>16505.513</v>
      </c>
      <c r="E71" s="24"/>
      <c r="F71" s="24">
        <v>16505.513</v>
      </c>
      <c r="G71" s="24">
        <v>16505.513</v>
      </c>
      <c r="H71" s="24">
        <v>16505.513</v>
      </c>
      <c r="I71" s="24">
        <v>16505.513</v>
      </c>
      <c r="J71" s="24">
        <v>16505.513</v>
      </c>
      <c r="K71" s="24">
        <v>16505.513</v>
      </c>
      <c r="L71" s="24">
        <v>16505.513</v>
      </c>
      <c r="M71" s="24">
        <v>16505.513</v>
      </c>
      <c r="N71" s="24">
        <v>16505.513</v>
      </c>
      <c r="O71" s="24">
        <v>16505.513</v>
      </c>
      <c r="P71" s="24">
        <v>16505.513</v>
      </c>
      <c r="Q71" s="24">
        <v>16505.513</v>
      </c>
      <c r="R71" s="24">
        <v>16505.513</v>
      </c>
      <c r="S71" s="24">
        <v>16505.513</v>
      </c>
      <c r="T71" s="24">
        <v>16505.513</v>
      </c>
      <c r="U71" s="24">
        <v>16505.513</v>
      </c>
    </row>
    <row r="72" spans="2:21" ht="33" customHeight="1">
      <c r="B72" s="11" t="s">
        <v>134</v>
      </c>
      <c r="C72" s="39" t="s">
        <v>87</v>
      </c>
      <c r="D72" s="8">
        <v>3.95</v>
      </c>
      <c r="E72" s="8">
        <v>3.43</v>
      </c>
      <c r="F72" s="8">
        <v>3.95</v>
      </c>
      <c r="G72" s="8">
        <v>3.95</v>
      </c>
      <c r="H72" s="8">
        <v>3.95</v>
      </c>
      <c r="I72" s="8">
        <v>3.95</v>
      </c>
      <c r="J72" s="8">
        <v>3.95</v>
      </c>
      <c r="K72" s="8">
        <v>3.95</v>
      </c>
      <c r="L72" s="8">
        <v>3.95</v>
      </c>
      <c r="M72" s="8">
        <v>3.95</v>
      </c>
      <c r="N72" s="8">
        <v>3.95</v>
      </c>
      <c r="O72" s="8">
        <v>3.95</v>
      </c>
      <c r="P72" s="8">
        <v>3.95</v>
      </c>
      <c r="Q72" s="8">
        <v>3.95</v>
      </c>
      <c r="R72" s="8">
        <v>3.95</v>
      </c>
      <c r="S72" s="8">
        <v>3.95</v>
      </c>
      <c r="T72" s="8">
        <v>3.95</v>
      </c>
      <c r="U72" s="8">
        <v>3.95</v>
      </c>
    </row>
    <row r="73" spans="2:21" ht="1.5" customHeight="1" hidden="1">
      <c r="B73" s="11"/>
      <c r="C73" s="39" t="s">
        <v>37</v>
      </c>
      <c r="D73" s="24">
        <v>866012.82</v>
      </c>
      <c r="E73" s="24"/>
      <c r="F73" s="24">
        <v>866012.82</v>
      </c>
      <c r="G73" s="24">
        <v>866012.82</v>
      </c>
      <c r="H73" s="24">
        <v>866012.82</v>
      </c>
      <c r="I73" s="24">
        <v>866012.82</v>
      </c>
      <c r="J73" s="24">
        <v>866012.82</v>
      </c>
      <c r="K73" s="24">
        <v>866012.82</v>
      </c>
      <c r="L73" s="24">
        <v>866012.82</v>
      </c>
      <c r="M73" s="24">
        <v>866012.82</v>
      </c>
      <c r="N73" s="24">
        <v>866012.82</v>
      </c>
      <c r="O73" s="24">
        <v>866012.82</v>
      </c>
      <c r="P73" s="24">
        <v>866012.82</v>
      </c>
      <c r="Q73" s="24">
        <v>866012.82</v>
      </c>
      <c r="R73" s="24">
        <v>866012.82</v>
      </c>
      <c r="S73" s="24">
        <v>866012.82</v>
      </c>
      <c r="T73" s="24">
        <v>866012.82</v>
      </c>
      <c r="U73" s="24">
        <v>866012.82</v>
      </c>
    </row>
    <row r="74" spans="2:21" ht="15.75" hidden="1">
      <c r="B74" s="11"/>
      <c r="C74" s="39" t="s">
        <v>38</v>
      </c>
      <c r="D74" s="24">
        <v>34226.27</v>
      </c>
      <c r="E74" s="24"/>
      <c r="F74" s="24">
        <v>34226.27</v>
      </c>
      <c r="G74" s="24">
        <v>34226.27</v>
      </c>
      <c r="H74" s="24">
        <v>34226.27</v>
      </c>
      <c r="I74" s="24">
        <v>34226.27</v>
      </c>
      <c r="J74" s="24">
        <v>34226.27</v>
      </c>
      <c r="K74" s="24">
        <v>34226.27</v>
      </c>
      <c r="L74" s="24">
        <v>34226.27</v>
      </c>
      <c r="M74" s="24">
        <v>34226.27</v>
      </c>
      <c r="N74" s="24">
        <v>34226.27</v>
      </c>
      <c r="O74" s="24">
        <v>34226.27</v>
      </c>
      <c r="P74" s="24">
        <v>34226.27</v>
      </c>
      <c r="Q74" s="24">
        <v>34226.27</v>
      </c>
      <c r="R74" s="24">
        <v>34226.27</v>
      </c>
      <c r="S74" s="24">
        <v>34226.27</v>
      </c>
      <c r="T74" s="24">
        <v>34226.27</v>
      </c>
      <c r="U74" s="24">
        <v>34226.27</v>
      </c>
    </row>
    <row r="75" spans="2:21" ht="50.25" customHeight="1">
      <c r="B75" s="11" t="s">
        <v>135</v>
      </c>
      <c r="C75" s="39" t="s">
        <v>88</v>
      </c>
      <c r="D75" s="8">
        <v>0.73</v>
      </c>
      <c r="E75" s="8">
        <v>1</v>
      </c>
      <c r="F75" s="8">
        <v>0.73</v>
      </c>
      <c r="G75" s="8">
        <v>0.73</v>
      </c>
      <c r="H75" s="8">
        <v>0.73</v>
      </c>
      <c r="I75" s="8">
        <v>0.73</v>
      </c>
      <c r="J75" s="8">
        <v>0.73</v>
      </c>
      <c r="K75" s="8">
        <v>0.73</v>
      </c>
      <c r="L75" s="8">
        <v>0.73</v>
      </c>
      <c r="M75" s="8">
        <v>0.73</v>
      </c>
      <c r="N75" s="8">
        <v>0.73</v>
      </c>
      <c r="O75" s="8">
        <v>0.73</v>
      </c>
      <c r="P75" s="8">
        <v>0.73</v>
      </c>
      <c r="Q75" s="8">
        <v>0.73</v>
      </c>
      <c r="R75" s="8">
        <v>0.73</v>
      </c>
      <c r="S75" s="8">
        <v>0.73</v>
      </c>
      <c r="T75" s="8">
        <v>0.73</v>
      </c>
      <c r="U75" s="8">
        <v>0.73</v>
      </c>
    </row>
    <row r="76" spans="1:21" s="41" customFormat="1" ht="31.5" hidden="1">
      <c r="A76" s="40"/>
      <c r="B76" s="11"/>
      <c r="C76" s="39" t="s">
        <v>39</v>
      </c>
      <c r="D76" s="8">
        <v>641936.03</v>
      </c>
      <c r="E76" s="8"/>
      <c r="F76" s="8">
        <v>641936.03</v>
      </c>
      <c r="G76" s="8">
        <v>641936.03</v>
      </c>
      <c r="H76" s="8">
        <v>641936.03</v>
      </c>
      <c r="I76" s="8">
        <v>641936.03</v>
      </c>
      <c r="J76" s="8">
        <v>641936.03</v>
      </c>
      <c r="K76" s="8">
        <v>641936.03</v>
      </c>
      <c r="L76" s="8">
        <v>641936.03</v>
      </c>
      <c r="M76" s="8">
        <v>641936.03</v>
      </c>
      <c r="N76" s="8">
        <v>641936.03</v>
      </c>
      <c r="O76" s="8">
        <v>641936.03</v>
      </c>
      <c r="P76" s="8">
        <v>641936.03</v>
      </c>
      <c r="Q76" s="8">
        <v>641936.03</v>
      </c>
      <c r="R76" s="8">
        <v>641936.03</v>
      </c>
      <c r="S76" s="8">
        <v>641936.03</v>
      </c>
      <c r="T76" s="8">
        <v>641936.03</v>
      </c>
      <c r="U76" s="8">
        <v>641936.03</v>
      </c>
    </row>
    <row r="77" spans="1:21" s="41" customFormat="1" ht="15.75" hidden="1">
      <c r="A77" s="40"/>
      <c r="B77" s="11"/>
      <c r="C77" s="39" t="s">
        <v>40</v>
      </c>
      <c r="D77" s="8">
        <v>881244.96</v>
      </c>
      <c r="E77" s="8"/>
      <c r="F77" s="8">
        <v>881244.96</v>
      </c>
      <c r="G77" s="8">
        <v>881244.96</v>
      </c>
      <c r="H77" s="8">
        <v>881244.96</v>
      </c>
      <c r="I77" s="8">
        <v>881244.96</v>
      </c>
      <c r="J77" s="8">
        <v>881244.96</v>
      </c>
      <c r="K77" s="8">
        <v>881244.96</v>
      </c>
      <c r="L77" s="8">
        <v>881244.96</v>
      </c>
      <c r="M77" s="8">
        <v>881244.96</v>
      </c>
      <c r="N77" s="8">
        <v>881244.96</v>
      </c>
      <c r="O77" s="8">
        <v>881244.96</v>
      </c>
      <c r="P77" s="8">
        <v>881244.96</v>
      </c>
      <c r="Q77" s="8">
        <v>881244.96</v>
      </c>
      <c r="R77" s="8">
        <v>881244.96</v>
      </c>
      <c r="S77" s="8">
        <v>881244.96</v>
      </c>
      <c r="T77" s="8">
        <v>881244.96</v>
      </c>
      <c r="U77" s="8">
        <v>881244.96</v>
      </c>
    </row>
    <row r="78" spans="2:21" ht="39.75" customHeight="1">
      <c r="B78" s="11" t="s">
        <v>136</v>
      </c>
      <c r="C78" s="39" t="s">
        <v>89</v>
      </c>
      <c r="D78" s="8">
        <f>D79/D80</f>
        <v>1.5056252962019971</v>
      </c>
      <c r="E78" s="8">
        <v>1.39</v>
      </c>
      <c r="F78" s="8">
        <f aca="true" t="shared" si="30" ref="F78:K78">F79/F80</f>
        <v>1.5099993692942615</v>
      </c>
      <c r="G78" s="8">
        <f t="shared" si="30"/>
        <v>1.5099993692942615</v>
      </c>
      <c r="H78" s="8">
        <f t="shared" si="30"/>
        <v>1.5099993692942615</v>
      </c>
      <c r="I78" s="8">
        <f t="shared" si="30"/>
        <v>1.5100000848749247</v>
      </c>
      <c r="J78" s="8">
        <f t="shared" si="30"/>
        <v>1.502373821820001</v>
      </c>
      <c r="K78" s="8">
        <f t="shared" si="30"/>
        <v>1.4947860752451523</v>
      </c>
      <c r="L78" s="8">
        <f aca="true" t="shared" si="31" ref="L78:U78">L79/L80</f>
        <v>1.487236650622702</v>
      </c>
      <c r="M78" s="8">
        <f t="shared" si="31"/>
        <v>1.4797253544074358</v>
      </c>
      <c r="N78" s="8">
        <f t="shared" si="31"/>
        <v>1.4722519940316408</v>
      </c>
      <c r="O78" s="8">
        <f t="shared" si="31"/>
        <v>1.464816377900168</v>
      </c>
      <c r="P78" s="8">
        <f t="shared" si="31"/>
        <v>1.4574183153855205</v>
      </c>
      <c r="Q78" s="8">
        <f t="shared" si="31"/>
        <v>1.4500576168229673</v>
      </c>
      <c r="R78" s="8">
        <f t="shared" si="31"/>
        <v>1.4427340935056796</v>
      </c>
      <c r="S78" s="8">
        <f t="shared" si="31"/>
        <v>1.4354475576798935</v>
      </c>
      <c r="T78" s="8">
        <f t="shared" si="31"/>
        <v>1.4281978225400962</v>
      </c>
      <c r="U78" s="8">
        <f t="shared" si="31"/>
        <v>1.420984702224237</v>
      </c>
    </row>
    <row r="79" spans="2:21" ht="31.5" hidden="1">
      <c r="B79" s="11"/>
      <c r="C79" s="39" t="s">
        <v>41</v>
      </c>
      <c r="D79" s="24">
        <v>1292823.74</v>
      </c>
      <c r="E79" s="24"/>
      <c r="F79" s="24">
        <v>1270648</v>
      </c>
      <c r="G79" s="24">
        <f>F79*0.99</f>
        <v>1257941.52</v>
      </c>
      <c r="H79" s="24">
        <f aca="true" t="shared" si="32" ref="H79:H80">G79*0.99</f>
        <v>1245362.1048</v>
      </c>
      <c r="I79" s="24">
        <f>1245362*0.99</f>
        <v>1232908.38</v>
      </c>
      <c r="J79" s="24">
        <f>I79*0.985</f>
        <v>1214414.7543</v>
      </c>
      <c r="K79" s="24">
        <f>J79*0.985</f>
        <v>1196198.5329854998</v>
      </c>
      <c r="L79" s="24">
        <f aca="true" t="shared" si="33" ref="L79:U79">K79*0.985</f>
        <v>1178255.5549907172</v>
      </c>
      <c r="M79" s="24">
        <f t="shared" si="33"/>
        <v>1160581.7216658564</v>
      </c>
      <c r="N79" s="24">
        <f t="shared" si="33"/>
        <v>1143172.9958408687</v>
      </c>
      <c r="O79" s="24">
        <f t="shared" si="33"/>
        <v>1126025.4009032557</v>
      </c>
      <c r="P79" s="24">
        <f t="shared" si="33"/>
        <v>1109135.0198897067</v>
      </c>
      <c r="Q79" s="24">
        <f t="shared" si="33"/>
        <v>1092497.9945913611</v>
      </c>
      <c r="R79" s="24">
        <f t="shared" si="33"/>
        <v>1076110.5246724908</v>
      </c>
      <c r="S79" s="24">
        <f t="shared" si="33"/>
        <v>1059968.8668024035</v>
      </c>
      <c r="T79" s="24">
        <f t="shared" si="33"/>
        <v>1044069.3338003674</v>
      </c>
      <c r="U79" s="24">
        <f t="shared" si="33"/>
        <v>1028408.2937933619</v>
      </c>
    </row>
    <row r="80" spans="1:21" ht="31.5" hidden="1">
      <c r="A80"/>
      <c r="B80" s="11"/>
      <c r="C80" s="39" t="s">
        <v>42</v>
      </c>
      <c r="D80" s="24">
        <v>858662.34</v>
      </c>
      <c r="E80" s="24"/>
      <c r="F80" s="24">
        <f>D80*0.98</f>
        <v>841489.0932</v>
      </c>
      <c r="G80" s="24">
        <f>F80*0.99</f>
        <v>833074.202268</v>
      </c>
      <c r="H80" s="24">
        <f t="shared" si="32"/>
        <v>824743.46024532</v>
      </c>
      <c r="I80" s="24">
        <f>824743*0.99</f>
        <v>816495.57</v>
      </c>
      <c r="J80" s="24">
        <f>I80*0.99</f>
        <v>808330.6142999999</v>
      </c>
      <c r="K80" s="24">
        <f>J80*0.99</f>
        <v>800247.3081569999</v>
      </c>
      <c r="L80" s="24">
        <f aca="true" t="shared" si="34" ref="L80:U80">K80*0.99</f>
        <v>792244.8350754299</v>
      </c>
      <c r="M80" s="24">
        <f t="shared" si="34"/>
        <v>784322.3867246755</v>
      </c>
      <c r="N80" s="24">
        <f t="shared" si="34"/>
        <v>776479.1628574288</v>
      </c>
      <c r="O80" s="24">
        <f t="shared" si="34"/>
        <v>768714.3712288545</v>
      </c>
      <c r="P80" s="24">
        <f t="shared" si="34"/>
        <v>761027.2275165659</v>
      </c>
      <c r="Q80" s="24">
        <f t="shared" si="34"/>
        <v>753416.9552414003</v>
      </c>
      <c r="R80" s="24">
        <f t="shared" si="34"/>
        <v>745882.7856889863</v>
      </c>
      <c r="S80" s="24">
        <f t="shared" si="34"/>
        <v>738423.9578320964</v>
      </c>
      <c r="T80" s="24">
        <f t="shared" si="34"/>
        <v>731039.7182537754</v>
      </c>
      <c r="U80" s="24">
        <f t="shared" si="34"/>
        <v>723729.3210712377</v>
      </c>
    </row>
    <row r="81" spans="1:21" ht="66" customHeight="1">
      <c r="A81"/>
      <c r="B81" s="11" t="s">
        <v>137</v>
      </c>
      <c r="C81" s="39" t="s">
        <v>90</v>
      </c>
      <c r="D81" s="20">
        <f>854944/263820</f>
        <v>3.2406337654461375</v>
      </c>
      <c r="E81" s="20">
        <f aca="true" t="shared" si="35" ref="E81">854944/263820</f>
        <v>3.2406337654461375</v>
      </c>
      <c r="F81" s="20">
        <v>3.241</v>
      </c>
      <c r="G81" s="20">
        <v>3.241</v>
      </c>
      <c r="H81" s="20">
        <v>3.241</v>
      </c>
      <c r="I81" s="20">
        <v>3.241</v>
      </c>
      <c r="J81" s="20">
        <v>3.241</v>
      </c>
      <c r="K81" s="20">
        <v>3.241</v>
      </c>
      <c r="L81" s="20">
        <v>3.241</v>
      </c>
      <c r="M81" s="20">
        <v>3.241</v>
      </c>
      <c r="N81" s="20">
        <v>3.241</v>
      </c>
      <c r="O81" s="20">
        <v>3.241</v>
      </c>
      <c r="P81" s="20">
        <v>3.241</v>
      </c>
      <c r="Q81" s="20">
        <v>3.241</v>
      </c>
      <c r="R81" s="20">
        <v>3.241</v>
      </c>
      <c r="S81" s="20">
        <v>3.241</v>
      </c>
      <c r="T81" s="20">
        <v>3.241</v>
      </c>
      <c r="U81" s="20">
        <v>3.241</v>
      </c>
    </row>
    <row r="82" spans="1:21" ht="31.5" hidden="1">
      <c r="A82"/>
      <c r="B82" s="11"/>
      <c r="C82" s="39" t="s">
        <v>43</v>
      </c>
      <c r="D82" s="42">
        <v>854940</v>
      </c>
      <c r="E82" s="42"/>
      <c r="F82" s="42">
        <f>D82*99.99%</f>
        <v>854854.5059999999</v>
      </c>
      <c r="G82" s="42">
        <f>F82*99.99%</f>
        <v>854769.0205493999</v>
      </c>
      <c r="H82" s="42">
        <f>G82*99.99%</f>
        <v>854683.5436473449</v>
      </c>
      <c r="I82" s="42">
        <f>854683.54*99.99%</f>
        <v>854598.0716459999</v>
      </c>
      <c r="J82" s="42">
        <f>I82*99.99%</f>
        <v>854512.6118388352</v>
      </c>
      <c r="K82" s="42">
        <f>J82*99.99%</f>
        <v>854427.1605776512</v>
      </c>
      <c r="L82" s="42">
        <f aca="true" t="shared" si="36" ref="L82:U82">K82*99.99%</f>
        <v>854341.7178615934</v>
      </c>
      <c r="M82" s="42">
        <f t="shared" si="36"/>
        <v>854256.283689807</v>
      </c>
      <c r="N82" s="42">
        <f t="shared" si="36"/>
        <v>854170.858061438</v>
      </c>
      <c r="O82" s="42">
        <f t="shared" si="36"/>
        <v>854085.4409756317</v>
      </c>
      <c r="P82" s="42">
        <f t="shared" si="36"/>
        <v>854000.032431534</v>
      </c>
      <c r="Q82" s="42">
        <f t="shared" si="36"/>
        <v>853914.6324282908</v>
      </c>
      <c r="R82" s="42">
        <f t="shared" si="36"/>
        <v>853829.2409650479</v>
      </c>
      <c r="S82" s="42">
        <f t="shared" si="36"/>
        <v>853743.8580409513</v>
      </c>
      <c r="T82" s="42">
        <f t="shared" si="36"/>
        <v>853658.4836551471</v>
      </c>
      <c r="U82" s="42">
        <f t="shared" si="36"/>
        <v>853573.1178067815</v>
      </c>
    </row>
    <row r="83" spans="1:21" ht="15.75" hidden="1">
      <c r="A83"/>
      <c r="B83" s="11"/>
      <c r="C83" s="39" t="s">
        <v>44</v>
      </c>
      <c r="D83" s="42">
        <v>262100</v>
      </c>
      <c r="E83" s="42">
        <v>262100</v>
      </c>
      <c r="F83" s="42">
        <v>262100</v>
      </c>
      <c r="G83" s="42">
        <v>262100</v>
      </c>
      <c r="H83" s="42">
        <v>262100</v>
      </c>
      <c r="I83" s="42">
        <v>262100</v>
      </c>
      <c r="J83" s="42">
        <v>262100</v>
      </c>
      <c r="K83" s="42">
        <v>262101</v>
      </c>
      <c r="L83" s="42">
        <v>262102</v>
      </c>
      <c r="M83" s="42">
        <v>262103</v>
      </c>
      <c r="N83" s="42">
        <v>262104</v>
      </c>
      <c r="O83" s="42">
        <v>262105</v>
      </c>
      <c r="P83" s="42">
        <v>262106</v>
      </c>
      <c r="Q83" s="42">
        <v>262107</v>
      </c>
      <c r="R83" s="42">
        <v>262108</v>
      </c>
      <c r="S83" s="42">
        <v>262109</v>
      </c>
      <c r="T83" s="42">
        <v>262110</v>
      </c>
      <c r="U83" s="42">
        <v>262111</v>
      </c>
    </row>
    <row r="84" spans="1:21" ht="128.25" customHeight="1">
      <c r="A84"/>
      <c r="B84" s="70" t="s">
        <v>138</v>
      </c>
      <c r="C84" s="76" t="s">
        <v>104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</row>
    <row r="85" spans="1:21" ht="192" customHeight="1">
      <c r="A85"/>
      <c r="B85" s="70" t="s">
        <v>139</v>
      </c>
      <c r="C85" s="39" t="s">
        <v>105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</row>
    <row r="86" spans="1:21" ht="93.6">
      <c r="A86"/>
      <c r="B86" s="70" t="s">
        <v>140</v>
      </c>
      <c r="C86" s="39" t="s">
        <v>106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</row>
    <row r="87" spans="1:21" ht="78">
      <c r="A87"/>
      <c r="B87" s="70" t="s">
        <v>141</v>
      </c>
      <c r="C87" s="39" t="s">
        <v>107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</row>
    <row r="88" spans="1:21" ht="171.6">
      <c r="A88"/>
      <c r="B88" s="70" t="s">
        <v>142</v>
      </c>
      <c r="C88" s="39" t="s">
        <v>108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</row>
    <row r="89" spans="1:21" ht="86.25" customHeight="1">
      <c r="A89"/>
      <c r="B89" s="70" t="s">
        <v>143</v>
      </c>
      <c r="C89" s="39" t="s">
        <v>109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</row>
    <row r="90" spans="1:21" ht="51.75" customHeight="1">
      <c r="A90"/>
      <c r="B90" s="11" t="s">
        <v>144</v>
      </c>
      <c r="C90" s="43" t="s">
        <v>149</v>
      </c>
      <c r="D90" s="1">
        <v>5</v>
      </c>
      <c r="E90" s="14">
        <v>5</v>
      </c>
      <c r="F90" s="1">
        <v>0</v>
      </c>
      <c r="G90" s="1">
        <v>0</v>
      </c>
      <c r="H90" s="1">
        <v>0</v>
      </c>
      <c r="I90" s="1">
        <v>5</v>
      </c>
      <c r="J90" s="1">
        <v>5</v>
      </c>
      <c r="K90" s="1">
        <v>5</v>
      </c>
      <c r="L90" s="1">
        <v>4</v>
      </c>
      <c r="M90" s="1">
        <v>4</v>
      </c>
      <c r="N90" s="1">
        <v>4</v>
      </c>
      <c r="O90" s="1">
        <v>4</v>
      </c>
      <c r="P90" s="1">
        <v>4</v>
      </c>
      <c r="Q90" s="1">
        <v>4</v>
      </c>
      <c r="R90" s="1">
        <v>4</v>
      </c>
      <c r="S90" s="1">
        <v>3</v>
      </c>
      <c r="T90" s="1">
        <v>3</v>
      </c>
      <c r="U90" s="1">
        <v>3</v>
      </c>
    </row>
    <row r="91" spans="1:21" ht="78">
      <c r="A91"/>
      <c r="B91" s="11" t="s">
        <v>145</v>
      </c>
      <c r="C91" s="43" t="s">
        <v>150</v>
      </c>
      <c r="D91" s="1">
        <v>6</v>
      </c>
      <c r="E91" s="14"/>
      <c r="F91" s="1">
        <v>6</v>
      </c>
      <c r="G91" s="1">
        <v>0</v>
      </c>
      <c r="H91" s="1">
        <v>0</v>
      </c>
      <c r="I91" s="1">
        <v>6</v>
      </c>
      <c r="J91" s="1">
        <v>5</v>
      </c>
      <c r="K91" s="1">
        <v>4</v>
      </c>
      <c r="L91" s="1">
        <v>4</v>
      </c>
      <c r="M91" s="1">
        <v>4</v>
      </c>
      <c r="N91" s="1">
        <v>4</v>
      </c>
      <c r="O91" s="1">
        <v>4</v>
      </c>
      <c r="P91" s="1">
        <v>4</v>
      </c>
      <c r="Q91" s="1">
        <v>4</v>
      </c>
      <c r="R91" s="1">
        <v>4</v>
      </c>
      <c r="S91" s="1">
        <v>4</v>
      </c>
      <c r="T91" s="1">
        <v>4</v>
      </c>
      <c r="U91" s="55">
        <v>4</v>
      </c>
    </row>
    <row r="92" spans="1:21" ht="31.2">
      <c r="A92"/>
      <c r="B92" s="11" t="s">
        <v>146</v>
      </c>
      <c r="C92" s="9" t="s">
        <v>151</v>
      </c>
      <c r="D92" s="1">
        <v>3</v>
      </c>
      <c r="E92" s="14"/>
      <c r="F92" s="1">
        <v>0</v>
      </c>
      <c r="G92" s="1">
        <f>9+1</f>
        <v>10</v>
      </c>
      <c r="H92" s="1">
        <v>0</v>
      </c>
      <c r="I92" s="1">
        <v>3</v>
      </c>
      <c r="J92" s="1">
        <v>3</v>
      </c>
      <c r="K92" s="1">
        <v>3</v>
      </c>
      <c r="L92" s="1">
        <v>3</v>
      </c>
      <c r="M92" s="1">
        <v>2</v>
      </c>
      <c r="N92" s="1">
        <v>2</v>
      </c>
      <c r="O92" s="1">
        <v>2</v>
      </c>
      <c r="P92" s="1">
        <v>2</v>
      </c>
      <c r="Q92" s="1">
        <v>2</v>
      </c>
      <c r="R92" s="1">
        <v>2</v>
      </c>
      <c r="S92" s="1">
        <v>2</v>
      </c>
      <c r="T92" s="1">
        <v>2</v>
      </c>
      <c r="U92" s="1">
        <v>2</v>
      </c>
    </row>
    <row r="93" spans="1:21" ht="15.6">
      <c r="A93"/>
      <c r="B93" s="11" t="s">
        <v>147</v>
      </c>
      <c r="C93" s="9" t="s">
        <v>96</v>
      </c>
      <c r="D93" s="1">
        <v>0</v>
      </c>
      <c r="E93" s="14"/>
      <c r="F93" s="1">
        <v>0</v>
      </c>
      <c r="G93" s="1">
        <f>9+1</f>
        <v>10</v>
      </c>
      <c r="H93" s="1">
        <v>0</v>
      </c>
      <c r="I93" s="1">
        <v>3</v>
      </c>
      <c r="J93" s="1">
        <v>3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6</v>
      </c>
    </row>
    <row r="94" spans="2:21" ht="15.6">
      <c r="B94" s="62"/>
      <c r="C94" s="6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ht="15.6">
      <c r="B95" s="77" t="s">
        <v>63</v>
      </c>
      <c r="C95" s="77" t="s">
        <v>152</v>
      </c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8"/>
      <c r="S95" s="78"/>
      <c r="T95" s="78"/>
      <c r="U95" s="78"/>
    </row>
    <row r="96" spans="2:21" ht="15.6">
      <c r="B96" s="77"/>
      <c r="C96" s="77" t="s">
        <v>156</v>
      </c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9"/>
      <c r="S96" s="79"/>
      <c r="T96" s="79"/>
      <c r="U96" s="79"/>
    </row>
    <row r="97" spans="2:21" ht="15.6">
      <c r="B97" s="77" t="s">
        <v>64</v>
      </c>
      <c r="C97" s="77" t="s">
        <v>153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9"/>
      <c r="S97" s="79"/>
      <c r="T97" s="79"/>
      <c r="U97" s="79"/>
    </row>
    <row r="98" spans="1:21" ht="15.6">
      <c r="A98"/>
      <c r="B98" s="77"/>
      <c r="C98" s="77" t="s">
        <v>157</v>
      </c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9"/>
      <c r="S98" s="79"/>
      <c r="T98" s="79"/>
      <c r="U98" s="79"/>
    </row>
    <row r="99" spans="1:21" ht="15.6">
      <c r="A99"/>
      <c r="B99" s="77"/>
      <c r="C99" s="77" t="s">
        <v>154</v>
      </c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9"/>
      <c r="S99" s="79"/>
      <c r="T99" s="79"/>
      <c r="U99" s="79"/>
    </row>
    <row r="100" spans="1:21" ht="15.6">
      <c r="A100"/>
      <c r="B100" s="77"/>
      <c r="C100" s="77" t="s">
        <v>158</v>
      </c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9"/>
      <c r="S100" s="79"/>
      <c r="T100" s="79"/>
      <c r="U100" s="79"/>
    </row>
    <row r="101" spans="1:21" ht="15.6">
      <c r="A101"/>
      <c r="B101" s="77" t="s">
        <v>65</v>
      </c>
      <c r="C101" s="77" t="s">
        <v>159</v>
      </c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9"/>
      <c r="S101" s="79"/>
      <c r="T101" s="79"/>
      <c r="U101" s="79"/>
    </row>
    <row r="102" spans="1:21" ht="15.6">
      <c r="A102"/>
      <c r="B102" s="77" t="s">
        <v>69</v>
      </c>
      <c r="C102" s="77" t="s">
        <v>160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9"/>
      <c r="S102" s="79"/>
      <c r="T102" s="79"/>
      <c r="U102" s="79"/>
    </row>
    <row r="103" spans="1:21" ht="15.6">
      <c r="A103"/>
      <c r="B103" s="77" t="s">
        <v>70</v>
      </c>
      <c r="C103" s="77" t="s">
        <v>155</v>
      </c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9"/>
      <c r="S103" s="79"/>
      <c r="T103" s="79"/>
      <c r="U103" s="79"/>
    </row>
    <row r="104" spans="1:21" ht="15.6">
      <c r="A104"/>
      <c r="B104" s="77"/>
      <c r="C104" s="77" t="s">
        <v>161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9"/>
      <c r="S104" s="79"/>
      <c r="T104" s="79"/>
      <c r="U104" s="79"/>
    </row>
    <row r="105" spans="1:21" ht="15.6">
      <c r="A105"/>
      <c r="B105" s="4" t="s">
        <v>162</v>
      </c>
      <c r="C105" s="4" t="s">
        <v>163</v>
      </c>
      <c r="R105" s="3"/>
      <c r="S105" s="3"/>
      <c r="T105" s="3"/>
      <c r="U105" s="3"/>
    </row>
    <row r="106" spans="1:21" ht="15.6">
      <c r="A106"/>
      <c r="B106" s="4" t="s">
        <v>164</v>
      </c>
      <c r="C106" s="4" t="s">
        <v>165</v>
      </c>
      <c r="R106" s="3"/>
      <c r="S106" s="3"/>
      <c r="T106" s="3"/>
      <c r="U106" s="3"/>
    </row>
    <row r="107" spans="2:21" ht="15.6">
      <c r="B107" s="4" t="s">
        <v>166</v>
      </c>
      <c r="C107" s="4" t="s">
        <v>167</v>
      </c>
      <c r="R107" s="3"/>
      <c r="S107" s="3"/>
      <c r="T107" s="3"/>
      <c r="U107" s="3"/>
    </row>
    <row r="108" spans="2:21" ht="15.6">
      <c r="B108" s="4" t="s">
        <v>91</v>
      </c>
      <c r="C108" s="4" t="s">
        <v>168</v>
      </c>
      <c r="R108" s="3"/>
      <c r="S108" s="3"/>
      <c r="T108" s="3"/>
      <c r="U108" s="3"/>
    </row>
    <row r="109" spans="1:21" s="67" customFormat="1" ht="15.6">
      <c r="A109" s="45"/>
      <c r="B109" s="4"/>
      <c r="C109" s="4" t="s">
        <v>169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3"/>
      <c r="S109" s="3"/>
      <c r="T109" s="3"/>
      <c r="U109" s="3"/>
    </row>
    <row r="110" spans="1:4" s="67" customFormat="1" ht="15">
      <c r="A110" s="45"/>
      <c r="B110" s="45"/>
      <c r="C110" s="45"/>
      <c r="D110" s="45"/>
    </row>
    <row r="111" spans="1:4" s="67" customFormat="1" ht="15">
      <c r="A111" s="45"/>
      <c r="B111" s="45"/>
      <c r="C111" s="71"/>
      <c r="D111" s="45"/>
    </row>
    <row r="112" spans="1:4" s="67" customFormat="1" ht="15">
      <c r="A112" s="45"/>
      <c r="B112" s="45"/>
      <c r="C112" s="45"/>
      <c r="D112" s="45"/>
    </row>
    <row r="113" spans="1:4" s="67" customFormat="1" ht="15">
      <c r="A113" s="45"/>
      <c r="B113" s="45"/>
      <c r="C113" s="71"/>
      <c r="D113" s="45"/>
    </row>
    <row r="114" spans="1:4" s="67" customFormat="1" ht="15">
      <c r="A114" s="45"/>
      <c r="B114" s="45"/>
      <c r="C114" s="45"/>
      <c r="D114" s="45"/>
    </row>
    <row r="115" spans="1:4" s="67" customFormat="1" ht="15">
      <c r="A115" s="45"/>
      <c r="B115" s="45"/>
      <c r="C115" s="71"/>
      <c r="D115" s="45"/>
    </row>
    <row r="116" spans="1:4" s="67" customFormat="1" ht="15">
      <c r="A116" s="45"/>
      <c r="B116" s="45"/>
      <c r="C116" s="45"/>
      <c r="D116" s="45"/>
    </row>
    <row r="117" spans="1:4" s="67" customFormat="1" ht="15">
      <c r="A117" s="45"/>
      <c r="B117" s="45"/>
      <c r="C117" s="71"/>
      <c r="D117" s="45"/>
    </row>
    <row r="118" spans="1:4" s="67" customFormat="1" ht="15">
      <c r="A118" s="45"/>
      <c r="B118" s="45"/>
      <c r="C118" s="45"/>
      <c r="D118" s="45"/>
    </row>
    <row r="119" spans="1:4" s="67" customFormat="1" ht="15">
      <c r="A119" s="45"/>
      <c r="B119" s="45"/>
      <c r="C119" s="45"/>
      <c r="D119" s="45"/>
    </row>
    <row r="120" spans="1:4" s="67" customFormat="1" ht="15">
      <c r="A120" s="45"/>
      <c r="B120" s="45"/>
      <c r="C120" s="45"/>
      <c r="D120" s="45"/>
    </row>
    <row r="121" spans="1:4" s="67" customFormat="1" ht="15">
      <c r="A121" s="45"/>
      <c r="B121" s="45"/>
      <c r="C121" s="45"/>
      <c r="D121" s="45"/>
    </row>
    <row r="122" spans="1:4" s="67" customFormat="1" ht="15">
      <c r="A122" s="45"/>
      <c r="B122" s="45"/>
      <c r="C122" s="45"/>
      <c r="D122" s="45"/>
    </row>
  </sheetData>
  <mergeCells count="11">
    <mergeCell ref="R2:U2"/>
    <mergeCell ref="S3:U3"/>
    <mergeCell ref="B6:U6"/>
    <mergeCell ref="B7:U7"/>
    <mergeCell ref="J4:U4"/>
    <mergeCell ref="B5:U5"/>
    <mergeCell ref="B9:B10"/>
    <mergeCell ref="C9:C10"/>
    <mergeCell ref="D9:D10"/>
    <mergeCell ref="U9:U10"/>
    <mergeCell ref="E9:T9"/>
  </mergeCells>
  <printOptions horizontalCentered="1"/>
  <pageMargins left="0.7086614173228347" right="0.5976123595505618" top="0.7480314960629921" bottom="0.7480314960629921" header="0.31496062992125984" footer="0.31496062992125984"/>
  <pageSetup firstPageNumber="6" useFirstPageNumber="1" fitToHeight="3" fitToWidth="1" horizontalDpi="600" verticalDpi="600" orientation="landscape" paperSize="9" scale="45" r:id="rId1"/>
  <headerFooter>
    <oddHeader>&amp;C&amp;"Times New Roman,обычный"&amp;12&amp;P</oddHeader>
  </headerFooter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FW9VtLuQB95xrutV5PHLXIWqXvBgHBbNiGWM+Xs+qy8=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N2U3gAl27D5N195m7MFPs0HDkwdnag5c+Z+SlBY8+Ps=</DigestValue>
    </Reference>
  </SignedInfo>
  <SignatureValue>fnz+K4QlQBtG3FJhuBgi9Su6JTyYFY71nbPpGNZAHrhncCD11MSghhhBDZGGZtEo
D5VyhhygKPzAeLBvJQC4qQ==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FOeBtnma+48FugMXhJCV5j3L3t0=
</DigestValue>
      </Reference>
      <Reference URI="/xl/worksheets/sheet1.xml?ContentType=application/vnd.openxmlformats-officedocument.spreadsheetml.worksheet+xml">
        <DigestMethod Algorithm="http://www.w3.org/2000/09/xmldsig#sha1"/>
        <DigestValue>pUpR1zzuWDC5nUGO4bEJSiMuF3Y=
</DigestValue>
      </Reference>
      <Reference URI="/xl/styles.xml?ContentType=application/vnd.openxmlformats-officedocument.spreadsheetml.styles+xml">
        <DigestMethod Algorithm="http://www.w3.org/2000/09/xmldsig#sha1"/>
        <DigestValue>Xkg4xgaT4vddBzcCAaOeS6QBrAA=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pY6qWbdDyjWQDyEvX1XJiPDx94k=
</DigestValue>
      </Reference>
      <Reference URI="/xl/sharedStrings.xml?ContentType=application/vnd.openxmlformats-officedocument.spreadsheetml.sharedStrings+xml">
        <DigestMethod Algorithm="http://www.w3.org/2000/09/xmldsig#sha1"/>
        <DigestValue>F/DP2854E76JDRD8/oLuqAhmL8I=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2019-11-11T11:43:28Z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2019-11-11T11:43:28Z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2019-11-11T11:42:17Z</dcterms:modified>
  <cp:category/>
  <cp:version/>
  <cp:contentType/>
  <cp:contentStatus/>
</cp:coreProperties>
</file>